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wichter1/Golf/TGL2018/uploads/"/>
    </mc:Choice>
  </mc:AlternateContent>
  <xr:revisionPtr revIDLastSave="0" documentId="8_{1C2B8CFC-869C-AE45-96B9-0BE6D16E5C08}" xr6:coauthVersionLast="32" xr6:coauthVersionMax="32" xr10:uidLastSave="{00000000-0000-0000-0000-000000000000}"/>
  <bookViews>
    <workbookView xWindow="2460" yWindow="460" windowWidth="22880" windowHeight="16640" tabRatio="597" xr2:uid="{00000000-000D-0000-FFFF-FFFF00000000}"/>
  </bookViews>
  <sheets>
    <sheet name="TGL scorecard" sheetId="1" r:id="rId1"/>
    <sheet name="FYI 2nd Nine" sheetId="2" r:id="rId2"/>
  </sheets>
  <calcPr calcId="179017" iterate="1" iterateCount="3" calcOnSave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2" l="1"/>
  <c r="D36" i="2" s="1"/>
  <c r="C37" i="2"/>
  <c r="N37" i="2" s="1"/>
  <c r="N37" i="1"/>
  <c r="N21" i="2" s="1"/>
  <c r="O36" i="2" s="1"/>
  <c r="C19" i="2"/>
  <c r="C34" i="2" s="1"/>
  <c r="N34" i="2" s="1"/>
  <c r="N35" i="1"/>
  <c r="N19" i="2" s="1"/>
  <c r="O34" i="2" s="1"/>
  <c r="C18" i="2"/>
  <c r="C33" i="2" s="1"/>
  <c r="N33" i="2" s="1"/>
  <c r="N34" i="1"/>
  <c r="N18" i="2" s="1"/>
  <c r="O33" i="2" s="1"/>
  <c r="O44" i="1"/>
  <c r="O43" i="1"/>
  <c r="O42" i="1"/>
  <c r="O41" i="1"/>
  <c r="O40" i="1"/>
  <c r="O39" i="1"/>
  <c r="O38" i="1"/>
  <c r="O35" i="1"/>
  <c r="O34" i="1"/>
  <c r="O37" i="1"/>
  <c r="O36" i="1"/>
  <c r="C28" i="2"/>
  <c r="C43" i="2" s="1"/>
  <c r="N43" i="2" s="1"/>
  <c r="P43" i="2" s="1"/>
  <c r="Q43" i="2" s="1"/>
  <c r="C17" i="2"/>
  <c r="C27" i="2"/>
  <c r="C42" i="2" s="1"/>
  <c r="N42" i="2" s="1"/>
  <c r="P42" i="2" s="1"/>
  <c r="Q42" i="2" s="1"/>
  <c r="C26" i="2"/>
  <c r="C41" i="2" s="1"/>
  <c r="N41" i="2" s="1"/>
  <c r="P41" i="2" s="1"/>
  <c r="Q41" i="2" s="1"/>
  <c r="C25" i="2"/>
  <c r="C40" i="2" s="1"/>
  <c r="N40" i="2" s="1"/>
  <c r="C24" i="2"/>
  <c r="C39" i="2" s="1"/>
  <c r="N39" i="2" s="1"/>
  <c r="P39" i="2" s="1"/>
  <c r="Q39" i="2" s="1"/>
  <c r="C23" i="2"/>
  <c r="C38" i="2" s="1"/>
  <c r="N38" i="2" s="1"/>
  <c r="P38" i="2" s="1"/>
  <c r="Q38" i="2" s="1"/>
  <c r="C22" i="2"/>
  <c r="C21" i="2"/>
  <c r="C36" i="2" s="1"/>
  <c r="N36" i="2" s="1"/>
  <c r="N44" i="1"/>
  <c r="N43" i="1"/>
  <c r="N42" i="1"/>
  <c r="N41" i="1"/>
  <c r="N40" i="1"/>
  <c r="N39" i="1"/>
  <c r="N38" i="1"/>
  <c r="E36" i="1"/>
  <c r="F36" i="1"/>
  <c r="G36" i="1"/>
  <c r="H36" i="1"/>
  <c r="I36" i="1"/>
  <c r="J36" i="1"/>
  <c r="K36" i="1"/>
  <c r="L36" i="1"/>
  <c r="M36" i="1"/>
  <c r="N36" i="1"/>
  <c r="O27" i="2"/>
  <c r="O26" i="2"/>
  <c r="O25" i="2"/>
  <c r="M28" i="2"/>
  <c r="L28" i="2"/>
  <c r="K28" i="2"/>
  <c r="J28" i="2"/>
  <c r="I28" i="2"/>
  <c r="H28" i="2"/>
  <c r="G28" i="2"/>
  <c r="F28" i="2"/>
  <c r="E28" i="2"/>
  <c r="D28" i="2"/>
  <c r="D43" i="2" s="1"/>
  <c r="N27" i="2"/>
  <c r="O42" i="2" s="1"/>
  <c r="M27" i="2"/>
  <c r="L27" i="2"/>
  <c r="K27" i="2"/>
  <c r="J27" i="2"/>
  <c r="I27" i="2"/>
  <c r="H27" i="2"/>
  <c r="G27" i="2"/>
  <c r="F27" i="2"/>
  <c r="E27" i="2"/>
  <c r="D27" i="2"/>
  <c r="D42" i="2" s="1"/>
  <c r="N26" i="2"/>
  <c r="O41" i="2" s="1"/>
  <c r="M26" i="2"/>
  <c r="L26" i="2"/>
  <c r="K26" i="2"/>
  <c r="J26" i="2"/>
  <c r="I26" i="2"/>
  <c r="H26" i="2"/>
  <c r="G26" i="2"/>
  <c r="F26" i="2"/>
  <c r="E26" i="2"/>
  <c r="D26" i="2"/>
  <c r="D41" i="2" s="1"/>
  <c r="N25" i="2"/>
  <c r="O40" i="2" s="1"/>
  <c r="M25" i="2"/>
  <c r="L25" i="2"/>
  <c r="K25" i="2"/>
  <c r="J25" i="2"/>
  <c r="I25" i="2"/>
  <c r="H25" i="2"/>
  <c r="G25" i="2"/>
  <c r="F25" i="2"/>
  <c r="E25" i="2"/>
  <c r="D25" i="2"/>
  <c r="D40" i="2" s="1"/>
  <c r="M24" i="2"/>
  <c r="L24" i="2"/>
  <c r="K24" i="2"/>
  <c r="J24" i="2"/>
  <c r="I24" i="2"/>
  <c r="H24" i="2"/>
  <c r="G24" i="2"/>
  <c r="F24" i="2"/>
  <c r="E24" i="2"/>
  <c r="D24" i="2"/>
  <c r="D39" i="2" s="1"/>
  <c r="M23" i="2"/>
  <c r="L23" i="2"/>
  <c r="K23" i="2"/>
  <c r="J23" i="2"/>
  <c r="I23" i="2"/>
  <c r="H23" i="2"/>
  <c r="G23" i="2"/>
  <c r="F23" i="2"/>
  <c r="E23" i="2"/>
  <c r="D23" i="2"/>
  <c r="D38" i="2" s="1"/>
  <c r="M22" i="2"/>
  <c r="L22" i="2"/>
  <c r="K22" i="2"/>
  <c r="J22" i="2"/>
  <c r="I22" i="2"/>
  <c r="H22" i="2"/>
  <c r="G22" i="2"/>
  <c r="F22" i="2"/>
  <c r="E22" i="2"/>
  <c r="D22" i="2"/>
  <c r="D37" i="2" s="1"/>
  <c r="M21" i="2"/>
  <c r="L21" i="2"/>
  <c r="K21" i="2"/>
  <c r="J21" i="2"/>
  <c r="I21" i="2"/>
  <c r="H21" i="2"/>
  <c r="G21" i="2"/>
  <c r="F21" i="2"/>
  <c r="E21" i="2"/>
  <c r="C20" i="2"/>
  <c r="M19" i="2"/>
  <c r="L19" i="2"/>
  <c r="K19" i="2"/>
  <c r="J19" i="2"/>
  <c r="I19" i="2"/>
  <c r="H19" i="2"/>
  <c r="G19" i="2"/>
  <c r="F19" i="2"/>
  <c r="E19" i="2"/>
  <c r="D19" i="2"/>
  <c r="D34" i="2" s="1"/>
  <c r="M18" i="2"/>
  <c r="L18" i="2"/>
  <c r="K18" i="2"/>
  <c r="J18" i="2"/>
  <c r="I18" i="2"/>
  <c r="H18" i="2"/>
  <c r="G18" i="2"/>
  <c r="F18" i="2"/>
  <c r="E18" i="2"/>
  <c r="D18" i="2"/>
  <c r="D33" i="2" s="1"/>
  <c r="D6" i="2"/>
  <c r="I30" i="2" s="1"/>
  <c r="D7" i="2"/>
  <c r="D8" i="2"/>
  <c r="D9" i="2"/>
  <c r="D10" i="2"/>
  <c r="D11" i="2"/>
  <c r="D12" i="2"/>
  <c r="D13" i="2"/>
  <c r="D14" i="2"/>
  <c r="O28" i="2"/>
  <c r="K30" i="2"/>
  <c r="E30" i="2"/>
  <c r="F30" i="2"/>
  <c r="K32" i="2"/>
  <c r="M30" i="2"/>
  <c r="G30" i="2"/>
  <c r="F32" i="2"/>
  <c r="H30" i="2"/>
  <c r="G32" i="2"/>
  <c r="H32" i="2"/>
  <c r="J30" i="2"/>
  <c r="N28" i="2"/>
  <c r="O43" i="2"/>
  <c r="E30" i="1"/>
  <c r="O22" i="2"/>
  <c r="N22" i="2"/>
  <c r="O37" i="2" s="1"/>
  <c r="O21" i="2"/>
  <c r="N24" i="2"/>
  <c r="O39" i="2"/>
  <c r="N23" i="2"/>
  <c r="O38" i="2"/>
  <c r="O24" i="2"/>
  <c r="O23" i="2"/>
  <c r="O19" i="2"/>
  <c r="D36" i="1"/>
  <c r="D20" i="2"/>
  <c r="B8" i="1"/>
  <c r="O18" i="2"/>
  <c r="O20" i="2"/>
  <c r="C32" i="1"/>
  <c r="D12" i="1"/>
  <c r="M17" i="2"/>
  <c r="L17" i="2"/>
  <c r="K17" i="2"/>
  <c r="J17" i="2"/>
  <c r="I17" i="2"/>
  <c r="H17" i="2"/>
  <c r="G17" i="2"/>
  <c r="F17" i="2"/>
  <c r="E17" i="2"/>
  <c r="M15" i="2"/>
  <c r="L15" i="2"/>
  <c r="K15" i="2"/>
  <c r="J15" i="2"/>
  <c r="I15" i="2"/>
  <c r="H15" i="2"/>
  <c r="G15" i="2"/>
  <c r="F15" i="2"/>
  <c r="E15" i="2"/>
  <c r="D6" i="1"/>
  <c r="D7" i="1"/>
  <c r="E31" i="1" s="1"/>
  <c r="D14" i="1"/>
  <c r="D13" i="1"/>
  <c r="D11" i="1"/>
  <c r="D10" i="1"/>
  <c r="D9" i="1"/>
  <c r="D8" i="1"/>
  <c r="N17" i="2"/>
  <c r="M33" i="1"/>
  <c r="L31" i="1"/>
  <c r="M31" i="1"/>
  <c r="J31" i="1"/>
  <c r="K31" i="1"/>
  <c r="M20" i="2"/>
  <c r="H33" i="1"/>
  <c r="I33" i="1"/>
  <c r="L33" i="1"/>
  <c r="H20" i="2"/>
  <c r="G20" i="2"/>
  <c r="K20" i="2"/>
  <c r="I20" i="2"/>
  <c r="F20" i="2"/>
  <c r="J20" i="2"/>
  <c r="L20" i="2"/>
  <c r="E20" i="2"/>
  <c r="N20" i="2"/>
  <c r="P40" i="2" l="1"/>
  <c r="Q40" i="2" s="1"/>
  <c r="P34" i="2"/>
  <c r="Q34" i="2" s="1"/>
  <c r="P37" i="2"/>
  <c r="Q37" i="2" s="1"/>
  <c r="P33" i="2"/>
  <c r="Q33" i="2" s="1"/>
  <c r="P36" i="2"/>
  <c r="Q36" i="2" s="1"/>
  <c r="L32" i="2"/>
  <c r="G33" i="1"/>
  <c r="H31" i="1"/>
  <c r="M32" i="2"/>
  <c r="L30" i="2"/>
  <c r="I31" i="1"/>
  <c r="J33" i="1"/>
  <c r="E33" i="1"/>
  <c r="G31" i="1"/>
  <c r="E32" i="2"/>
  <c r="N32" i="2" s="1"/>
  <c r="J32" i="2"/>
  <c r="F31" i="1"/>
  <c r="F33" i="1"/>
  <c r="K33" i="1"/>
  <c r="I32" i="2"/>
  <c r="O32" i="2" l="1"/>
  <c r="P32" i="2"/>
  <c r="N33" i="1"/>
</calcChain>
</file>

<file path=xl/sharedStrings.xml><?xml version="1.0" encoding="utf-8"?>
<sst xmlns="http://schemas.openxmlformats.org/spreadsheetml/2006/main" count="134" uniqueCount="54">
  <si>
    <t xml:space="preserve">Instructions: </t>
  </si>
  <si>
    <r>
      <t xml:space="preserve">1.  Specify the date and actual starting and finishing times for the </t>
    </r>
    <r>
      <rPr>
        <b/>
        <sz val="10"/>
        <color indexed="10"/>
        <rFont val="Arial"/>
        <family val="2"/>
      </rPr>
      <t>TGL</t>
    </r>
    <r>
      <rPr>
        <sz val="10"/>
        <rFont val="Arial"/>
        <family val="2"/>
      </rPr>
      <t xml:space="preserve"> nine holes.</t>
    </r>
  </si>
  <si>
    <r>
      <t xml:space="preserve">2.  Indicate the coarse played for </t>
    </r>
    <r>
      <rPr>
        <b/>
        <sz val="10"/>
        <color indexed="10"/>
        <rFont val="Arial"/>
        <family val="2"/>
      </rPr>
      <t>TGL</t>
    </r>
    <r>
      <rPr>
        <sz val="10"/>
        <rFont val="Arial"/>
        <family val="2"/>
      </rPr>
      <t xml:space="preserve"> by choosing specific nine from the pulldown list next to the Course Played cell.</t>
    </r>
  </si>
  <si>
    <t>Click this cell, then --&gt;</t>
  </si>
  <si>
    <t>CHARDONNAY</t>
  </si>
  <si>
    <t>MERLOT</t>
  </si>
  <si>
    <t>ZINFANDEL</t>
  </si>
  <si>
    <t>Date:</t>
  </si>
  <si>
    <t>Starting time:</t>
  </si>
  <si>
    <t>Finishing time:</t>
  </si>
  <si>
    <t>Total</t>
  </si>
  <si>
    <t>Coarse Played --&gt;</t>
  </si>
  <si>
    <t>Team Player --&gt;</t>
  </si>
  <si>
    <t>Other Player --&gt;</t>
  </si>
  <si>
    <t>par</t>
  </si>
  <si>
    <t>fhc</t>
  </si>
  <si>
    <t>bhc</t>
  </si>
  <si>
    <t>Front 9 Course Handicap</t>
  </si>
  <si>
    <t>Back 9 Course Handicap</t>
  </si>
  <si>
    <r>
      <t>T</t>
    </r>
    <r>
      <rPr>
        <sz val="12"/>
        <color indexed="62"/>
        <rFont val="Arial"/>
        <family val="2"/>
      </rPr>
      <t>he</t>
    </r>
    <r>
      <rPr>
        <sz val="12"/>
        <color indexed="10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G</t>
    </r>
    <r>
      <rPr>
        <sz val="12"/>
        <color indexed="62"/>
        <rFont val="Arial"/>
        <family val="2"/>
      </rPr>
      <t xml:space="preserve">olf </t>
    </r>
    <r>
      <rPr>
        <b/>
        <sz val="12"/>
        <color indexed="10"/>
        <rFont val="Arial"/>
        <family val="2"/>
      </rPr>
      <t>L</t>
    </r>
    <r>
      <rPr>
        <sz val="12"/>
        <color indexed="62"/>
        <rFont val="Arial"/>
        <family val="2"/>
      </rPr>
      <t>eague</t>
    </r>
  </si>
  <si>
    <t>Out</t>
  </si>
  <si>
    <t>In</t>
  </si>
  <si>
    <r>
      <t xml:space="preserve">6.  Email the file to </t>
    </r>
    <r>
      <rPr>
        <sz val="10"/>
        <color indexed="10"/>
        <rFont val="Arial"/>
        <family val="2"/>
      </rPr>
      <t xml:space="preserve">tgl-diretors@llnl.gov  </t>
    </r>
    <r>
      <rPr>
        <sz val="10"/>
        <rFont val="Arial"/>
        <family val="2"/>
      </rPr>
      <t>(twindex handicaps are re-calculated every week.)</t>
    </r>
  </si>
  <si>
    <t>5.  Save the file with a new name like 20150507_tgl_scorecard_team_2.xls</t>
  </si>
  <si>
    <t xml:space="preserve">     You MUST pick a course before you can enter scores</t>
  </si>
  <si>
    <r>
      <t xml:space="preserve">     Please try to get scores in on </t>
    </r>
    <r>
      <rPr>
        <b/>
        <sz val="10"/>
        <color indexed="10"/>
        <rFont val="Arial"/>
        <family val="2"/>
      </rPr>
      <t>Friday of that round's week.</t>
    </r>
  </si>
  <si>
    <t xml:space="preserve">     Scores submitted after 5:00pm on Monday after that round are late, unless Joel or Larry are notified ahead of time why.</t>
  </si>
  <si>
    <t>Click here, then --&gt;</t>
  </si>
  <si>
    <t>Team Format:</t>
  </si>
  <si>
    <t>Best Ball</t>
  </si>
  <si>
    <t>Total Net</t>
  </si>
  <si>
    <t>Net*</t>
  </si>
  <si>
    <t>Provisional Team Results*</t>
  </si>
  <si>
    <t>*Net Scores and Team Results displayed above are tentative and unofficial.  The TGL process will announce the final, official results.</t>
  </si>
  <si>
    <r>
      <t xml:space="preserve">     You will only be able to select and enter data in the light g</t>
    </r>
    <r>
      <rPr>
        <b/>
        <sz val="10"/>
        <color rgb="FF333399"/>
        <rFont val="Arial"/>
        <family val="2"/>
      </rPr>
      <t>reen</t>
    </r>
    <r>
      <rPr>
        <b/>
        <sz val="10"/>
        <color indexed="62"/>
        <rFont val="Arial"/>
        <family val="2"/>
      </rPr>
      <t xml:space="preserve"> cells that require your input</t>
    </r>
  </si>
  <si>
    <t>Front 9 Hole HC</t>
  </si>
  <si>
    <t>Back 9 Hole HC</t>
  </si>
  <si>
    <t>Our Back Nine was on:</t>
  </si>
  <si>
    <t>Front Nine (FYI Only)</t>
  </si>
  <si>
    <t>Net</t>
  </si>
  <si>
    <t>Instructions: … that MUST BE FOLLOWED</t>
  </si>
  <si>
    <t>1.  None!  This is entirely optional and provided as a convenience by our benevolent TGL Czar.  The TGL will totally ignore this tab.</t>
  </si>
  <si>
    <t>tglADMIN</t>
  </si>
  <si>
    <t>TGL</t>
  </si>
  <si>
    <t>Course Played --&gt;</t>
  </si>
  <si>
    <t>3.  Enter the scores - hole by hole for each player in the 1st Nine section and (optionally) in the 2nd Nine tab.</t>
  </si>
  <si>
    <t xml:space="preserve">     All late scores will be assessed a 3 stoke reduction of that Team's course handicap for that week.</t>
  </si>
  <si>
    <t xml:space="preserve">     This penalty is applied by reducing the course handicap for each player representing that Team that week and effects only Team competition.</t>
  </si>
  <si>
    <r>
      <t xml:space="preserve">     </t>
    </r>
    <r>
      <rPr>
        <b/>
        <sz val="9"/>
        <color rgb="FF333399"/>
        <rFont val="Arial"/>
        <family val="2"/>
      </rPr>
      <t>Important:</t>
    </r>
    <r>
      <rPr>
        <b/>
        <sz val="10"/>
        <color rgb="FF333399"/>
        <rFont val="Arial"/>
        <family val="2"/>
      </rPr>
      <t xml:space="preserve">  A players must finish all holes to</t>
    </r>
    <r>
      <rPr>
        <b/>
        <sz val="9"/>
        <color rgb="FF333399"/>
        <rFont val="Arial"/>
        <family val="2"/>
      </rPr>
      <t xml:space="preserve"> compete for weekly prizes.  All Team</t>
    </r>
    <r>
      <rPr>
        <b/>
        <i/>
        <sz val="9"/>
        <color rgb="FF333399"/>
        <rFont val="Arial"/>
        <family val="2"/>
      </rPr>
      <t xml:space="preserve"> </t>
    </r>
    <r>
      <rPr>
        <b/>
        <i/>
        <sz val="9"/>
        <rFont val="Arial"/>
        <family val="2"/>
      </rPr>
      <t>Total Net</t>
    </r>
    <r>
      <rPr>
        <b/>
        <sz val="9"/>
        <color rgb="FF333399"/>
        <rFont val="Arial"/>
        <family val="2"/>
      </rPr>
      <t xml:space="preserve"> scores must also be complete, or it will DQ for the week.</t>
    </r>
  </si>
  <si>
    <t>4.  For any holes not finished, please enter an X</t>
  </si>
  <si>
    <r>
      <rPr>
        <sz val="10"/>
        <rFont val="Arial"/>
        <family val="2"/>
      </rPr>
      <t xml:space="preserve">Player </t>
    </r>
    <r>
      <rPr>
        <sz val="10"/>
        <rFont val="Wingdings"/>
        <family val="2"/>
      </rPr>
      <t xml:space="preserve"> </t>
    </r>
    <r>
      <rPr>
        <sz val="10"/>
        <rFont val="Arial"/>
        <family val="2"/>
      </rPr>
      <t>HC</t>
    </r>
  </si>
  <si>
    <r>
      <t xml:space="preserve">Hole HC </t>
    </r>
    <r>
      <rPr>
        <sz val="10"/>
        <rFont val="Wingdings"/>
        <family val="2"/>
      </rPr>
      <t></t>
    </r>
  </si>
  <si>
    <r>
      <rPr>
        <sz val="10"/>
        <rFont val="Arial"/>
        <family val="2"/>
      </rPr>
      <t xml:space="preserve">Par </t>
    </r>
    <r>
      <rPr>
        <sz val="10"/>
        <rFont val="Wingdings"/>
        <family val="2"/>
      </rPr>
      <t></t>
    </r>
  </si>
  <si>
    <r>
      <rPr>
        <sz val="10"/>
        <rFont val="Arial"/>
        <family val="2"/>
      </rPr>
      <t xml:space="preserve">Player HC </t>
    </r>
    <r>
      <rPr>
        <sz val="10"/>
        <rFont val="Wingdings"/>
        <family val="2"/>
      </rPr>
      <t>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</si>
</sst>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4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10"/>
      <name val="Arial"/>
      <family val="2"/>
    </font>
    <font>
      <sz val="12"/>
      <color indexed="62"/>
      <name val="Arial"/>
      <family val="2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6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333399"/>
      <name val="Arial"/>
      <family val="2"/>
    </font>
    <font>
      <sz val="10"/>
      <color rgb="FF33339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10"/>
      <color theme="0" tint="-0.249977111117893"/>
      <name val="Arial"/>
      <family val="2"/>
    </font>
    <font>
      <b/>
      <i/>
      <sz val="9"/>
      <name val="Arial"/>
      <family val="2"/>
    </font>
    <font>
      <b/>
      <sz val="10"/>
      <color theme="3"/>
      <name val="Arial"/>
      <family val="2"/>
    </font>
    <font>
      <b/>
      <sz val="9"/>
      <color rgb="FF333399"/>
      <name val="Arial"/>
      <family val="2"/>
    </font>
    <font>
      <b/>
      <i/>
      <sz val="9"/>
      <color rgb="FF333399"/>
      <name val="Arial"/>
      <family val="2"/>
    </font>
    <font>
      <b/>
      <sz val="10"/>
      <color theme="5" tint="-0.249977111117893"/>
      <name val="Arial"/>
      <family val="2"/>
    </font>
    <font>
      <u/>
      <sz val="10"/>
      <color theme="11"/>
      <name val="Arial"/>
      <family val="2"/>
    </font>
    <font>
      <sz val="10"/>
      <name val="Wingdings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41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0.249977111117893"/>
        <bgColor indexed="41"/>
      </patternFill>
    </fill>
    <fill>
      <patternFill patternType="solid">
        <fgColor theme="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4D1"/>
        <bgColor indexed="41"/>
      </patternFill>
    </fill>
    <fill>
      <patternFill patternType="solid">
        <fgColor theme="4" tint="0.79998168889431442"/>
        <bgColor indexed="26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/>
      <bottom style="thin">
        <color auto="1"/>
      </bottom>
      <diagonal/>
    </border>
  </borders>
  <cellStyleXfs count="6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7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Protection="1"/>
    <xf numFmtId="0" fontId="0" fillId="20" borderId="10" xfId="0" applyFill="1" applyBorder="1" applyProtection="1"/>
    <xf numFmtId="0" fontId="18" fillId="20" borderId="11" xfId="0" applyFont="1" applyFill="1" applyBorder="1" applyProtection="1"/>
    <xf numFmtId="0" fontId="0" fillId="20" borderId="11" xfId="0" applyFill="1" applyBorder="1" applyProtection="1"/>
    <xf numFmtId="0" fontId="0" fillId="20" borderId="12" xfId="0" applyFill="1" applyBorder="1" applyProtection="1"/>
    <xf numFmtId="0" fontId="0" fillId="20" borderId="14" xfId="0" applyFill="1" applyBorder="1" applyProtection="1"/>
    <xf numFmtId="0" fontId="21" fillId="24" borderId="15" xfId="0" applyFont="1" applyFill="1" applyBorder="1" applyProtection="1"/>
    <xf numFmtId="0" fontId="0" fillId="24" borderId="12" xfId="0" applyFill="1" applyBorder="1" applyProtection="1"/>
    <xf numFmtId="0" fontId="0" fillId="24" borderId="14" xfId="0" applyFont="1" applyFill="1" applyBorder="1" applyProtection="1"/>
    <xf numFmtId="0" fontId="0" fillId="24" borderId="0" xfId="0" applyFill="1" applyBorder="1" applyProtection="1"/>
    <xf numFmtId="0" fontId="0" fillId="24" borderId="0" xfId="0" applyFill="1" applyBorder="1" applyAlignment="1" applyProtection="1">
      <alignment horizontal="center"/>
    </xf>
    <xf numFmtId="0" fontId="0" fillId="24" borderId="14" xfId="0" applyFill="1" applyBorder="1" applyAlignment="1" applyProtection="1">
      <alignment horizontal="right"/>
    </xf>
    <xf numFmtId="18" fontId="0" fillId="24" borderId="0" xfId="0" applyNumberFormat="1" applyFill="1" applyBorder="1" applyProtection="1"/>
    <xf numFmtId="0" fontId="21" fillId="24" borderId="0" xfId="0" applyFont="1" applyFill="1" applyBorder="1" applyProtection="1"/>
    <xf numFmtId="0" fontId="0" fillId="24" borderId="0" xfId="0" applyFont="1" applyFill="1" applyBorder="1" applyAlignment="1" applyProtection="1">
      <alignment horizontal="center"/>
    </xf>
    <xf numFmtId="0" fontId="21" fillId="6" borderId="19" xfId="0" applyFont="1" applyFill="1" applyBorder="1" applyAlignment="1" applyProtection="1">
      <alignment horizontal="left"/>
      <protection locked="0"/>
    </xf>
    <xf numFmtId="0" fontId="0" fillId="24" borderId="14" xfId="0" applyFill="1" applyBorder="1" applyProtection="1"/>
    <xf numFmtId="0" fontId="0" fillId="24" borderId="0" xfId="0" applyFill="1" applyBorder="1" applyProtection="1">
      <protection locked="0"/>
    </xf>
    <xf numFmtId="0" fontId="0" fillId="24" borderId="0" xfId="0" applyFill="1" applyBorder="1" applyAlignment="1" applyProtection="1">
      <alignment horizontal="center"/>
      <protection locked="0"/>
    </xf>
    <xf numFmtId="0" fontId="0" fillId="24" borderId="0" xfId="0" applyFont="1" applyFill="1" applyBorder="1" applyAlignment="1" applyProtection="1">
      <alignment horizontal="center"/>
      <protection locked="0"/>
    </xf>
    <xf numFmtId="0" fontId="0" fillId="24" borderId="23" xfId="0" applyFill="1" applyBorder="1" applyProtection="1">
      <protection locked="0"/>
    </xf>
    <xf numFmtId="0" fontId="0" fillId="20" borderId="23" xfId="0" applyFill="1" applyBorder="1" applyProtection="1">
      <protection locked="0"/>
    </xf>
    <xf numFmtId="0" fontId="0" fillId="0" borderId="0" xfId="0" applyProtection="1">
      <protection locked="0"/>
    </xf>
    <xf numFmtId="0" fontId="0" fillId="20" borderId="14" xfId="0" applyFill="1" applyBorder="1" applyProtection="1">
      <protection locked="0"/>
    </xf>
    <xf numFmtId="0" fontId="0" fillId="24" borderId="16" xfId="0" applyFill="1" applyBorder="1" applyProtection="1">
      <protection locked="0"/>
    </xf>
    <xf numFmtId="0" fontId="0" fillId="20" borderId="17" xfId="0" applyFill="1" applyBorder="1" applyProtection="1">
      <protection locked="0"/>
    </xf>
    <xf numFmtId="0" fontId="0" fillId="24" borderId="17" xfId="0" applyFill="1" applyBorder="1" applyProtection="1">
      <protection locked="0"/>
    </xf>
    <xf numFmtId="0" fontId="0" fillId="24" borderId="17" xfId="0" applyFill="1" applyBorder="1" applyAlignment="1" applyProtection="1">
      <alignment horizontal="center"/>
      <protection locked="0"/>
    </xf>
    <xf numFmtId="0" fontId="0" fillId="24" borderId="14" xfId="0" applyFill="1" applyBorder="1" applyAlignment="1" applyProtection="1">
      <alignment horizontal="right"/>
      <protection locked="0"/>
    </xf>
    <xf numFmtId="164" fontId="23" fillId="26" borderId="13" xfId="0" applyNumberFormat="1" applyFont="1" applyFill="1" applyBorder="1" applyAlignment="1" applyProtection="1">
      <alignment horizontal="center"/>
      <protection locked="0"/>
    </xf>
    <xf numFmtId="18" fontId="0" fillId="26" borderId="13" xfId="0" applyNumberFormat="1" applyFont="1" applyFill="1" applyBorder="1" applyAlignment="1" applyProtection="1">
      <alignment horizontal="center"/>
      <protection locked="0"/>
    </xf>
    <xf numFmtId="0" fontId="28" fillId="26" borderId="19" xfId="0" applyFont="1" applyFill="1" applyBorder="1" applyAlignment="1" applyProtection="1">
      <alignment horizontal="left"/>
      <protection locked="0"/>
    </xf>
    <xf numFmtId="0" fontId="26" fillId="26" borderId="20" xfId="0" applyFont="1" applyFill="1" applyBorder="1" applyAlignment="1" applyProtection="1">
      <alignment horizontal="left"/>
      <protection locked="0"/>
    </xf>
    <xf numFmtId="0" fontId="26" fillId="26" borderId="26" xfId="0" applyFont="1" applyFill="1" applyBorder="1" applyAlignment="1" applyProtection="1">
      <alignment horizontal="left"/>
      <protection locked="0"/>
    </xf>
    <xf numFmtId="0" fontId="26" fillId="26" borderId="21" xfId="0" applyFont="1" applyFill="1" applyBorder="1" applyAlignment="1" applyProtection="1">
      <alignment horizontal="left"/>
      <protection locked="0"/>
    </xf>
    <xf numFmtId="0" fontId="26" fillId="26" borderId="21" xfId="0" applyFont="1" applyFill="1" applyBorder="1" applyAlignment="1" applyProtection="1">
      <alignment horizontal="center"/>
      <protection locked="0"/>
    </xf>
    <xf numFmtId="0" fontId="26" fillId="29" borderId="21" xfId="0" applyFont="1" applyFill="1" applyBorder="1" applyAlignment="1" applyProtection="1">
      <alignment horizontal="center"/>
    </xf>
    <xf numFmtId="0" fontId="0" fillId="30" borderId="0" xfId="0" applyFont="1" applyFill="1" applyBorder="1" applyAlignment="1" applyProtection="1">
      <alignment horizontal="left"/>
    </xf>
    <xf numFmtId="0" fontId="0" fillId="30" borderId="0" xfId="0" applyFont="1" applyFill="1" applyBorder="1" applyAlignment="1" applyProtection="1">
      <alignment horizontal="center"/>
    </xf>
    <xf numFmtId="0" fontId="0" fillId="30" borderId="0" xfId="0" applyFill="1" applyBorder="1" applyAlignment="1" applyProtection="1">
      <alignment horizontal="center"/>
    </xf>
    <xf numFmtId="0" fontId="0" fillId="24" borderId="30" xfId="0" applyFill="1" applyBorder="1" applyAlignment="1" applyProtection="1">
      <alignment horizontal="center"/>
    </xf>
    <xf numFmtId="0" fontId="0" fillId="30" borderId="31" xfId="0" applyFill="1" applyBorder="1" applyAlignment="1" applyProtection="1">
      <alignment horizontal="center"/>
    </xf>
    <xf numFmtId="0" fontId="26" fillId="31" borderId="21" xfId="0" applyFont="1" applyFill="1" applyBorder="1" applyAlignment="1" applyProtection="1">
      <alignment horizontal="center"/>
    </xf>
    <xf numFmtId="0" fontId="0" fillId="33" borderId="25" xfId="0" applyFill="1" applyBorder="1" applyAlignment="1" applyProtection="1">
      <alignment horizontal="center"/>
    </xf>
    <xf numFmtId="0" fontId="0" fillId="33" borderId="10" xfId="0" applyFill="1" applyBorder="1" applyAlignment="1" applyProtection="1">
      <alignment horizontal="center"/>
    </xf>
    <xf numFmtId="0" fontId="0" fillId="33" borderId="30" xfId="0" applyFill="1" applyBorder="1" applyAlignment="1" applyProtection="1">
      <alignment horizontal="center"/>
    </xf>
    <xf numFmtId="0" fontId="0" fillId="34" borderId="0" xfId="0" applyFill="1" applyBorder="1" applyAlignment="1" applyProtection="1">
      <alignment horizontal="center"/>
    </xf>
    <xf numFmtId="0" fontId="0" fillId="35" borderId="0" xfId="0" applyFill="1" applyBorder="1" applyAlignment="1" applyProtection="1">
      <alignment horizontal="center"/>
    </xf>
    <xf numFmtId="0" fontId="0" fillId="30" borderId="29" xfId="0" applyFill="1" applyBorder="1" applyAlignment="1" applyProtection="1">
      <alignment horizontal="center"/>
    </xf>
    <xf numFmtId="0" fontId="0" fillId="35" borderId="0" xfId="0" applyFill="1" applyProtection="1"/>
    <xf numFmtId="0" fontId="26" fillId="36" borderId="21" xfId="0" applyFont="1" applyFill="1" applyBorder="1" applyAlignment="1" applyProtection="1">
      <alignment horizontal="center"/>
      <protection locked="0"/>
    </xf>
    <xf numFmtId="0" fontId="0" fillId="30" borderId="0" xfId="0" applyFill="1" applyBorder="1" applyAlignment="1" applyProtection="1">
      <alignment horizontal="center"/>
      <protection locked="0"/>
    </xf>
    <xf numFmtId="0" fontId="26" fillId="29" borderId="21" xfId="0" applyFont="1" applyFill="1" applyBorder="1" applyAlignment="1" applyProtection="1">
      <alignment horizontal="center"/>
      <protection locked="0"/>
    </xf>
    <xf numFmtId="0" fontId="26" fillId="29" borderId="26" xfId="0" applyFont="1" applyFill="1" applyBorder="1" applyAlignment="1" applyProtection="1">
      <alignment horizontal="center"/>
      <protection locked="0"/>
    </xf>
    <xf numFmtId="0" fontId="26" fillId="29" borderId="20" xfId="0" applyFont="1" applyFill="1" applyBorder="1" applyAlignment="1" applyProtection="1">
      <alignment horizontal="center"/>
      <protection locked="0"/>
    </xf>
    <xf numFmtId="0" fontId="0" fillId="20" borderId="12" xfId="0" applyFill="1" applyBorder="1" applyProtection="1">
      <protection locked="0"/>
    </xf>
    <xf numFmtId="0" fontId="0" fillId="20" borderId="13" xfId="0" applyFill="1" applyBorder="1" applyProtection="1">
      <protection locked="0"/>
    </xf>
    <xf numFmtId="0" fontId="23" fillId="24" borderId="18" xfId="0" applyFont="1" applyFill="1" applyBorder="1" applyAlignment="1" applyProtection="1">
      <alignment horizontal="right"/>
      <protection locked="0"/>
    </xf>
    <xf numFmtId="0" fontId="23" fillId="24" borderId="0" xfId="0" applyFont="1" applyFill="1" applyBorder="1" applyAlignment="1" applyProtection="1">
      <alignment horizontal="right"/>
      <protection locked="0"/>
    </xf>
    <xf numFmtId="0" fontId="0" fillId="24" borderId="18" xfId="0" applyFont="1" applyFill="1" applyBorder="1" applyAlignment="1" applyProtection="1">
      <alignment horizontal="right"/>
      <protection locked="0"/>
    </xf>
    <xf numFmtId="0" fontId="0" fillId="24" borderId="0" xfId="0" applyFill="1" applyBorder="1" applyAlignment="1" applyProtection="1">
      <alignment horizontal="right"/>
      <protection locked="0"/>
    </xf>
    <xf numFmtId="0" fontId="30" fillId="27" borderId="25" xfId="0" applyFont="1" applyFill="1" applyBorder="1" applyProtection="1">
      <protection locked="0"/>
    </xf>
    <xf numFmtId="0" fontId="31" fillId="24" borderId="0" xfId="0" applyFont="1" applyFill="1" applyBorder="1" applyProtection="1">
      <protection locked="0"/>
    </xf>
    <xf numFmtId="0" fontId="0" fillId="24" borderId="22" xfId="0" applyFill="1" applyBorder="1" applyAlignment="1" applyProtection="1">
      <alignment horizontal="right"/>
      <protection locked="0"/>
    </xf>
    <xf numFmtId="0" fontId="30" fillId="24" borderId="11" xfId="0" applyFont="1" applyFill="1" applyBorder="1" applyAlignment="1" applyProtection="1">
      <alignment horizontal="left"/>
      <protection locked="0"/>
    </xf>
    <xf numFmtId="0" fontId="0" fillId="24" borderId="23" xfId="0" applyFont="1" applyFill="1" applyBorder="1" applyAlignment="1" applyProtection="1">
      <alignment horizontal="center"/>
      <protection locked="0"/>
    </xf>
    <xf numFmtId="0" fontId="0" fillId="24" borderId="23" xfId="0" applyFill="1" applyBorder="1" applyAlignment="1" applyProtection="1">
      <alignment horizontal="center"/>
      <protection locked="0"/>
    </xf>
    <xf numFmtId="0" fontId="0" fillId="24" borderId="24" xfId="0" applyFill="1" applyBorder="1" applyProtection="1">
      <protection locked="0"/>
    </xf>
    <xf numFmtId="0" fontId="0" fillId="20" borderId="22" xfId="0" applyFill="1" applyBorder="1" applyProtection="1">
      <protection locked="0"/>
    </xf>
    <xf numFmtId="0" fontId="0" fillId="20" borderId="24" xfId="0" applyFill="1" applyBorder="1" applyProtection="1">
      <protection locked="0"/>
    </xf>
    <xf numFmtId="0" fontId="0" fillId="35" borderId="0" xfId="0" applyFill="1" applyBorder="1" applyAlignment="1" applyProtection="1">
      <alignment horizontal="center"/>
      <protection locked="0"/>
    </xf>
    <xf numFmtId="0" fontId="0" fillId="35" borderId="0" xfId="0" applyFill="1" applyProtection="1">
      <protection locked="0"/>
    </xf>
    <xf numFmtId="0" fontId="0" fillId="34" borderId="12" xfId="0" applyFill="1" applyBorder="1" applyProtection="1"/>
    <xf numFmtId="0" fontId="0" fillId="34" borderId="0" xfId="0" applyFill="1" applyBorder="1" applyProtection="1"/>
    <xf numFmtId="0" fontId="21" fillId="6" borderId="19" xfId="0" applyFont="1" applyFill="1" applyBorder="1" applyAlignment="1" applyProtection="1">
      <alignment horizontal="left"/>
    </xf>
    <xf numFmtId="0" fontId="26" fillId="31" borderId="20" xfId="0" applyFont="1" applyFill="1" applyBorder="1" applyAlignment="1" applyProtection="1">
      <alignment horizontal="left"/>
    </xf>
    <xf numFmtId="0" fontId="26" fillId="32" borderId="20" xfId="0" applyFont="1" applyFill="1" applyBorder="1" applyAlignment="1" applyProtection="1">
      <alignment horizontal="left"/>
    </xf>
    <xf numFmtId="0" fontId="32" fillId="20" borderId="11" xfId="0" applyFont="1" applyFill="1" applyBorder="1" applyAlignment="1" applyProtection="1">
      <alignment horizontal="right"/>
    </xf>
    <xf numFmtId="0" fontId="24" fillId="24" borderId="0" xfId="34" applyNumberFormat="1" applyFill="1" applyBorder="1" applyAlignment="1" applyProtection="1"/>
    <xf numFmtId="0" fontId="25" fillId="24" borderId="14" xfId="0" applyFont="1" applyFill="1" applyBorder="1" applyProtection="1"/>
    <xf numFmtId="0" fontId="25" fillId="25" borderId="14" xfId="0" applyFont="1" applyFill="1" applyBorder="1" applyProtection="1"/>
    <xf numFmtId="0" fontId="0" fillId="25" borderId="0" xfId="0" applyFill="1" applyBorder="1" applyProtection="1"/>
    <xf numFmtId="0" fontId="29" fillId="24" borderId="0" xfId="0" applyFont="1" applyFill="1" applyBorder="1" applyProtection="1"/>
    <xf numFmtId="0" fontId="0" fillId="28" borderId="25" xfId="0" applyFont="1" applyFill="1" applyBorder="1" applyAlignment="1" applyProtection="1">
      <alignment horizontal="left"/>
    </xf>
    <xf numFmtId="0" fontId="26" fillId="28" borderId="25" xfId="0" applyFont="1" applyFill="1" applyBorder="1" applyAlignment="1" applyProtection="1">
      <alignment horizontal="right"/>
    </xf>
    <xf numFmtId="0" fontId="0" fillId="28" borderId="25" xfId="0" applyFill="1" applyBorder="1" applyAlignment="1" applyProtection="1">
      <alignment horizontal="center"/>
    </xf>
    <xf numFmtId="0" fontId="0" fillId="28" borderId="27" xfId="0" applyFill="1" applyBorder="1" applyAlignment="1" applyProtection="1">
      <alignment horizontal="center"/>
    </xf>
    <xf numFmtId="0" fontId="0" fillId="28" borderId="28" xfId="0" applyFill="1" applyBorder="1" applyAlignment="1" applyProtection="1">
      <alignment horizontal="center"/>
    </xf>
    <xf numFmtId="0" fontId="0" fillId="24" borderId="10" xfId="0" applyFill="1" applyBorder="1" applyAlignment="1" applyProtection="1">
      <alignment horizontal="center"/>
    </xf>
    <xf numFmtId="0" fontId="0" fillId="24" borderId="25" xfId="0" applyFill="1" applyBorder="1" applyAlignment="1" applyProtection="1">
      <alignment horizontal="center"/>
    </xf>
    <xf numFmtId="0" fontId="34" fillId="25" borderId="0" xfId="0" applyFont="1" applyFill="1" applyBorder="1" applyProtection="1"/>
    <xf numFmtId="0" fontId="28" fillId="25" borderId="14" xfId="0" applyFont="1" applyFill="1" applyBorder="1" applyProtection="1"/>
    <xf numFmtId="0" fontId="37" fillId="37" borderId="32" xfId="0" applyFont="1" applyFill="1" applyBorder="1" applyAlignment="1" applyProtection="1">
      <alignment horizontal="center"/>
    </xf>
    <xf numFmtId="0" fontId="37" fillId="37" borderId="33" xfId="0" applyFont="1" applyFill="1" applyBorder="1" applyAlignment="1" applyProtection="1">
      <alignment horizontal="center"/>
    </xf>
    <xf numFmtId="0" fontId="39" fillId="24" borderId="0" xfId="0" applyFont="1" applyFill="1" applyBorder="1" applyAlignment="1" applyProtection="1">
      <alignment horizontal="center"/>
    </xf>
    <xf numFmtId="0" fontId="39" fillId="24" borderId="0" xfId="0" applyFont="1" applyFill="1" applyBorder="1" applyAlignment="1" applyProtection="1">
      <alignment horizontal="center" wrapText="1"/>
    </xf>
  </cellXfs>
  <cellStyles count="6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29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condense val="0"/>
        <extend val="0"/>
        <color indexed="62"/>
      </font>
    </dxf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25"/>
      </font>
    </dxf>
    <dxf>
      <font>
        <b/>
        <i val="0"/>
        <condense val="0"/>
        <extend val="0"/>
        <color indexed="57"/>
      </font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condense val="0"/>
        <extend val="0"/>
        <color indexed="62"/>
      </font>
    </dxf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25"/>
      </font>
    </dxf>
    <dxf>
      <font>
        <b/>
        <i val="0"/>
        <condense val="0"/>
        <extend val="0"/>
        <color indexed="57"/>
      </font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6" tint="0.79998168889431442"/>
      </font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theme="2" tint="-0.24994659260841701"/>
      </font>
      <fill>
        <patternFill>
          <bgColor theme="2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6" tint="0.7999816888943144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4"/>
      </font>
    </dxf>
    <dxf>
      <font>
        <b/>
        <i val="0"/>
        <condense val="0"/>
        <extend val="0"/>
        <color indexed="25"/>
      </font>
    </dxf>
    <dxf>
      <font>
        <b/>
        <i val="0"/>
        <condense val="0"/>
        <extend val="0"/>
        <color indexed="57"/>
      </font>
    </dxf>
  </dxfs>
  <tableStyles count="0" defaultTableStyle="TableStyleMedium9" defaultPivotStyle="PivotStyleLight16"/>
  <colors>
    <mruColors>
      <color rgb="FF333399"/>
      <color rgb="FFFFF4D1"/>
      <color rgb="FFFFE9A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46"/>
  <sheetViews>
    <sheetView tabSelected="1" workbookViewId="0">
      <selection activeCell="E36" sqref="E36"/>
    </sheetView>
  </sheetViews>
  <sheetFormatPr baseColWidth="10" defaultColWidth="8.83203125" defaultRowHeight="13.5" customHeight="1" x14ac:dyDescent="0.15"/>
  <cols>
    <col min="1" max="1" width="1" style="23" customWidth="1"/>
    <col min="2" max="2" width="18.33203125" style="23" customWidth="1"/>
    <col min="3" max="3" width="21.5" style="23" customWidth="1"/>
    <col min="4" max="4" width="11.5" style="23" customWidth="1"/>
    <col min="5" max="13" width="7.5" style="23" customWidth="1"/>
    <col min="14" max="14" width="8.33203125" style="23" customWidth="1"/>
    <col min="15" max="15" width="8.1640625" style="23" customWidth="1"/>
    <col min="16" max="16" width="5.6640625" style="23" customWidth="1"/>
    <col min="17" max="17" width="0.6640625" style="23" customWidth="1"/>
    <col min="18" max="18" width="0.83203125" style="23" customWidth="1"/>
    <col min="19" max="19" width="8.83203125" style="23"/>
    <col min="20" max="20" width="13.1640625" style="23" customWidth="1"/>
    <col min="21" max="16384" width="8.83203125" style="23"/>
  </cols>
  <sheetData>
    <row r="1" spans="1:20" ht="13.5" customHeight="1" x14ac:dyDescent="0.2">
      <c r="A1" s="2"/>
      <c r="B1" s="3" t="s">
        <v>19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78" t="s">
        <v>42</v>
      </c>
      <c r="Q1" s="56"/>
      <c r="R1" s="57"/>
    </row>
    <row r="2" spans="1:20" ht="13.5" customHeight="1" x14ac:dyDescent="0.15">
      <c r="A2" s="6"/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5"/>
      <c r="R2" s="26"/>
    </row>
    <row r="3" spans="1:20" ht="13.5" customHeight="1" x14ac:dyDescent="0.15">
      <c r="A3" s="6"/>
      <c r="B3" s="9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27"/>
      <c r="R3" s="26"/>
    </row>
    <row r="4" spans="1:20" ht="13.5" customHeight="1" x14ac:dyDescent="0.15">
      <c r="A4" s="6"/>
      <c r="B4" s="9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27"/>
      <c r="R4" s="26"/>
    </row>
    <row r="5" spans="1:20" ht="13.5" hidden="1" customHeight="1" x14ac:dyDescent="0.15">
      <c r="A5" s="6"/>
      <c r="B5" s="9"/>
      <c r="C5" s="10" t="s">
        <v>27</v>
      </c>
      <c r="D5" s="10"/>
      <c r="E5" s="11"/>
      <c r="F5" s="11"/>
      <c r="G5" s="11"/>
      <c r="H5" s="11"/>
      <c r="I5" s="11"/>
      <c r="J5" s="11"/>
      <c r="K5" s="11"/>
      <c r="L5" s="11"/>
      <c r="M5" s="11"/>
      <c r="N5" s="10"/>
      <c r="O5" s="10"/>
      <c r="P5" s="10"/>
      <c r="Q5" s="27"/>
      <c r="R5" s="26"/>
    </row>
    <row r="6" spans="1:20" ht="13.5" hidden="1" customHeight="1" x14ac:dyDescent="0.15">
      <c r="A6" s="6"/>
      <c r="B6" s="9" t="s">
        <v>29</v>
      </c>
      <c r="C6" s="10" t="s">
        <v>4</v>
      </c>
      <c r="D6" s="10" t="str">
        <f>C6&amp;"-par"</f>
        <v>CHARDONNAY-par</v>
      </c>
      <c r="E6" s="15">
        <v>4</v>
      </c>
      <c r="F6" s="15">
        <v>4</v>
      </c>
      <c r="G6" s="15">
        <v>3</v>
      </c>
      <c r="H6" s="15">
        <v>4</v>
      </c>
      <c r="I6" s="15">
        <v>5</v>
      </c>
      <c r="J6" s="15">
        <v>4</v>
      </c>
      <c r="K6" s="15">
        <v>3</v>
      </c>
      <c r="L6" s="15">
        <v>4</v>
      </c>
      <c r="M6" s="15">
        <v>5</v>
      </c>
      <c r="N6" s="10" t="s">
        <v>14</v>
      </c>
      <c r="O6" s="10"/>
      <c r="P6" s="10"/>
      <c r="Q6" s="27"/>
      <c r="R6" s="26"/>
    </row>
    <row r="7" spans="1:20" ht="13.5" hidden="1" customHeight="1" x14ac:dyDescent="0.15">
      <c r="A7" s="6"/>
      <c r="B7" s="9" t="s">
        <v>30</v>
      </c>
      <c r="C7" s="10" t="s">
        <v>5</v>
      </c>
      <c r="D7" s="10" t="str">
        <f>C7&amp;"-par"</f>
        <v>MERLOT-par</v>
      </c>
      <c r="E7" s="15">
        <v>4</v>
      </c>
      <c r="F7" s="15">
        <v>3</v>
      </c>
      <c r="G7" s="15">
        <v>4</v>
      </c>
      <c r="H7" s="15">
        <v>4</v>
      </c>
      <c r="I7" s="15">
        <v>5</v>
      </c>
      <c r="J7" s="15">
        <v>4</v>
      </c>
      <c r="K7" s="15">
        <v>4</v>
      </c>
      <c r="L7" s="15">
        <v>3</v>
      </c>
      <c r="M7" s="15">
        <v>5</v>
      </c>
      <c r="N7" s="10" t="s">
        <v>14</v>
      </c>
      <c r="O7" s="10"/>
      <c r="P7" s="10"/>
      <c r="Q7" s="27"/>
      <c r="R7" s="26"/>
    </row>
    <row r="8" spans="1:20" ht="13.5" hidden="1" customHeight="1" x14ac:dyDescent="0.15">
      <c r="A8" s="6"/>
      <c r="B8" s="9" t="str">
        <f>IF(O29="","",LEFT(O29,1))</f>
        <v>B</v>
      </c>
      <c r="C8" s="10" t="s">
        <v>6</v>
      </c>
      <c r="D8" s="10" t="str">
        <f>C8&amp;"-par"</f>
        <v>ZINFANDEL-par</v>
      </c>
      <c r="E8" s="15">
        <v>4</v>
      </c>
      <c r="F8" s="15">
        <v>3</v>
      </c>
      <c r="G8" s="15">
        <v>4</v>
      </c>
      <c r="H8" s="15">
        <v>4</v>
      </c>
      <c r="I8" s="15">
        <v>5</v>
      </c>
      <c r="J8" s="15">
        <v>4</v>
      </c>
      <c r="K8" s="15">
        <v>3</v>
      </c>
      <c r="L8" s="15">
        <v>5</v>
      </c>
      <c r="M8" s="15">
        <v>4</v>
      </c>
      <c r="N8" s="10" t="s">
        <v>14</v>
      </c>
      <c r="O8" s="10"/>
      <c r="P8" s="10"/>
      <c r="Q8" s="27"/>
      <c r="R8" s="26"/>
    </row>
    <row r="9" spans="1:20" ht="13.5" hidden="1" customHeight="1" x14ac:dyDescent="0.15">
      <c r="A9" s="6"/>
      <c r="B9" s="9"/>
      <c r="C9" s="10" t="s">
        <v>4</v>
      </c>
      <c r="D9" s="10" t="str">
        <f>C9&amp;"-fhc"</f>
        <v>CHARDONNAY-fhc</v>
      </c>
      <c r="E9" s="15">
        <v>7</v>
      </c>
      <c r="F9" s="15">
        <v>17</v>
      </c>
      <c r="G9" s="15">
        <v>11</v>
      </c>
      <c r="H9" s="15">
        <v>9</v>
      </c>
      <c r="I9" s="15">
        <v>5</v>
      </c>
      <c r="J9" s="15">
        <v>3</v>
      </c>
      <c r="K9" s="15">
        <v>13</v>
      </c>
      <c r="L9" s="15">
        <v>1</v>
      </c>
      <c r="M9" s="15">
        <v>15</v>
      </c>
      <c r="N9" s="10" t="s">
        <v>15</v>
      </c>
      <c r="O9" s="10" t="s">
        <v>17</v>
      </c>
      <c r="P9" s="10"/>
      <c r="Q9" s="27"/>
      <c r="R9" s="26"/>
    </row>
    <row r="10" spans="1:20" ht="13.5" hidden="1" customHeight="1" x14ac:dyDescent="0.15">
      <c r="A10" s="6"/>
      <c r="B10" s="9"/>
      <c r="C10" s="10" t="s">
        <v>5</v>
      </c>
      <c r="D10" s="10" t="str">
        <f>C10&amp;"-fhc"</f>
        <v>MERLOT-fhc</v>
      </c>
      <c r="E10" s="15">
        <v>3</v>
      </c>
      <c r="F10" s="15">
        <v>15</v>
      </c>
      <c r="G10" s="15">
        <v>13</v>
      </c>
      <c r="H10" s="15">
        <v>7</v>
      </c>
      <c r="I10" s="15">
        <v>11</v>
      </c>
      <c r="J10" s="15">
        <v>1</v>
      </c>
      <c r="K10" s="15">
        <v>5</v>
      </c>
      <c r="L10" s="15">
        <v>17</v>
      </c>
      <c r="M10" s="15">
        <v>9</v>
      </c>
      <c r="N10" s="10" t="s">
        <v>15</v>
      </c>
      <c r="O10" s="10" t="s">
        <v>17</v>
      </c>
      <c r="P10" s="10"/>
      <c r="Q10" s="27"/>
      <c r="R10" s="26"/>
    </row>
    <row r="11" spans="1:20" ht="13.5" hidden="1" customHeight="1" x14ac:dyDescent="0.15">
      <c r="A11" s="6"/>
      <c r="B11" s="9"/>
      <c r="C11" s="10" t="s">
        <v>6</v>
      </c>
      <c r="D11" s="10" t="str">
        <f>C11&amp;"-fhc"</f>
        <v>ZINFANDEL-fhc</v>
      </c>
      <c r="E11" s="15">
        <v>17</v>
      </c>
      <c r="F11" s="15">
        <v>15</v>
      </c>
      <c r="G11" s="15">
        <v>11</v>
      </c>
      <c r="H11" s="15">
        <v>1</v>
      </c>
      <c r="I11" s="15">
        <v>7</v>
      </c>
      <c r="J11" s="15">
        <v>5</v>
      </c>
      <c r="K11" s="15">
        <v>13</v>
      </c>
      <c r="L11" s="15">
        <v>9</v>
      </c>
      <c r="M11" s="15">
        <v>3</v>
      </c>
      <c r="N11" s="10" t="s">
        <v>15</v>
      </c>
      <c r="O11" s="10" t="s">
        <v>17</v>
      </c>
      <c r="P11" s="10"/>
      <c r="Q11" s="27"/>
      <c r="R11" s="26"/>
    </row>
    <row r="12" spans="1:20" ht="13.5" hidden="1" customHeight="1" x14ac:dyDescent="0.15">
      <c r="A12" s="6"/>
      <c r="B12" s="9"/>
      <c r="C12" s="10" t="s">
        <v>4</v>
      </c>
      <c r="D12" s="10" t="str">
        <f>C12&amp;"-bhc"</f>
        <v>CHARDONNAY-bhc</v>
      </c>
      <c r="E12" s="15">
        <v>8</v>
      </c>
      <c r="F12" s="15">
        <v>18</v>
      </c>
      <c r="G12" s="15">
        <v>12</v>
      </c>
      <c r="H12" s="15">
        <v>10</v>
      </c>
      <c r="I12" s="15">
        <v>6</v>
      </c>
      <c r="J12" s="15">
        <v>4</v>
      </c>
      <c r="K12" s="15">
        <v>14</v>
      </c>
      <c r="L12" s="15">
        <v>2</v>
      </c>
      <c r="M12" s="15">
        <v>16</v>
      </c>
      <c r="N12" s="10" t="s">
        <v>16</v>
      </c>
      <c r="O12" s="10" t="s">
        <v>18</v>
      </c>
      <c r="P12" s="10"/>
      <c r="Q12" s="27"/>
      <c r="R12" s="26"/>
    </row>
    <row r="13" spans="1:20" ht="13.5" hidden="1" customHeight="1" x14ac:dyDescent="0.15">
      <c r="A13" s="6"/>
      <c r="B13" s="9"/>
      <c r="C13" s="10" t="s">
        <v>5</v>
      </c>
      <c r="D13" s="10" t="str">
        <f>C13&amp;"-bhc"</f>
        <v>MERLOT-bhc</v>
      </c>
      <c r="E13" s="15">
        <v>4</v>
      </c>
      <c r="F13" s="15">
        <v>16</v>
      </c>
      <c r="G13" s="15">
        <v>14</v>
      </c>
      <c r="H13" s="15">
        <v>8</v>
      </c>
      <c r="I13" s="15">
        <v>12</v>
      </c>
      <c r="J13" s="15">
        <v>2</v>
      </c>
      <c r="K13" s="15">
        <v>6</v>
      </c>
      <c r="L13" s="15">
        <v>18</v>
      </c>
      <c r="M13" s="15">
        <v>10</v>
      </c>
      <c r="N13" s="10" t="s">
        <v>16</v>
      </c>
      <c r="O13" s="10" t="s">
        <v>18</v>
      </c>
      <c r="P13" s="10"/>
      <c r="Q13" s="27"/>
      <c r="R13" s="26"/>
    </row>
    <row r="14" spans="1:20" ht="13.5" hidden="1" customHeight="1" x14ac:dyDescent="0.15">
      <c r="A14" s="6"/>
      <c r="B14" s="9"/>
      <c r="C14" s="10" t="s">
        <v>6</v>
      </c>
      <c r="D14" s="10" t="str">
        <f>C14&amp;"-bhc"</f>
        <v>ZINFANDEL-bhc</v>
      </c>
      <c r="E14" s="15">
        <v>18</v>
      </c>
      <c r="F14" s="15">
        <v>16</v>
      </c>
      <c r="G14" s="15">
        <v>12</v>
      </c>
      <c r="H14" s="15">
        <v>2</v>
      </c>
      <c r="I14" s="15">
        <v>8</v>
      </c>
      <c r="J14" s="15">
        <v>6</v>
      </c>
      <c r="K14" s="15">
        <v>14</v>
      </c>
      <c r="L14" s="15">
        <v>10</v>
      </c>
      <c r="M14" s="15">
        <v>4</v>
      </c>
      <c r="N14" s="10" t="s">
        <v>16</v>
      </c>
      <c r="O14" s="10" t="s">
        <v>18</v>
      </c>
      <c r="P14" s="10"/>
      <c r="Q14" s="27"/>
      <c r="R14" s="26"/>
    </row>
    <row r="15" spans="1:20" ht="13.5" customHeight="1" x14ac:dyDescent="0.15">
      <c r="A15" s="6"/>
      <c r="B15" s="9" t="s">
        <v>45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27"/>
      <c r="R15" s="26"/>
      <c r="T15" s="96" t="s">
        <v>50</v>
      </c>
    </row>
    <row r="16" spans="1:20" ht="13.5" customHeight="1" x14ac:dyDescent="0.15">
      <c r="A16" s="6"/>
      <c r="B16" s="9" t="s">
        <v>49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27"/>
      <c r="R16" s="26"/>
    </row>
    <row r="17" spans="1:18" ht="13.5" customHeight="1" x14ac:dyDescent="0.15">
      <c r="A17" s="6"/>
      <c r="B17" s="92" t="s">
        <v>48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82"/>
      <c r="N17" s="82"/>
      <c r="O17" s="82"/>
      <c r="P17" s="10"/>
      <c r="Q17" s="27"/>
      <c r="R17" s="26"/>
    </row>
    <row r="18" spans="1:18" ht="13.5" customHeight="1" x14ac:dyDescent="0.15">
      <c r="A18" s="6"/>
      <c r="B18" s="17" t="s">
        <v>23</v>
      </c>
      <c r="C18" s="79"/>
      <c r="D18" s="10"/>
      <c r="E18" s="7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27"/>
      <c r="R18" s="26"/>
    </row>
    <row r="19" spans="1:18" ht="13.5" customHeight="1" x14ac:dyDescent="0.15">
      <c r="A19" s="6"/>
      <c r="B19" s="9" t="s">
        <v>22</v>
      </c>
      <c r="C19" s="79"/>
      <c r="D19" s="10"/>
      <c r="E19" s="7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27"/>
      <c r="R19" s="26"/>
    </row>
    <row r="20" spans="1:18" ht="13.5" customHeight="1" x14ac:dyDescent="0.15">
      <c r="A20" s="6"/>
      <c r="B20" s="9"/>
      <c r="C20" s="79"/>
      <c r="D20" s="10"/>
      <c r="E20" s="7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27"/>
      <c r="R20" s="26"/>
    </row>
    <row r="21" spans="1:18" ht="13.5" customHeight="1" x14ac:dyDescent="0.15">
      <c r="A21" s="6"/>
      <c r="B21" s="80" t="s">
        <v>34</v>
      </c>
      <c r="C21" s="79"/>
      <c r="D21" s="10"/>
      <c r="E21" s="7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27"/>
      <c r="R21" s="26"/>
    </row>
    <row r="22" spans="1:18" ht="13.5" customHeight="1" x14ac:dyDescent="0.15">
      <c r="A22" s="6"/>
      <c r="B22" s="80" t="s">
        <v>24</v>
      </c>
      <c r="C22" s="79"/>
      <c r="D22" s="10"/>
      <c r="E22" s="7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27"/>
      <c r="R22" s="26"/>
    </row>
    <row r="23" spans="1:18" ht="13.5" customHeight="1" x14ac:dyDescent="0.15">
      <c r="A23" s="6"/>
      <c r="B23" s="80" t="s">
        <v>25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/>
      <c r="Q23" s="28"/>
      <c r="R23" s="26"/>
    </row>
    <row r="24" spans="1:18" ht="13.5" customHeight="1" x14ac:dyDescent="0.15">
      <c r="A24" s="6"/>
      <c r="B24" s="81" t="s">
        <v>26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11"/>
      <c r="Q24" s="28"/>
      <c r="R24" s="26"/>
    </row>
    <row r="25" spans="1:18" ht="13.5" customHeight="1" x14ac:dyDescent="0.15">
      <c r="A25" s="6"/>
      <c r="B25" s="81" t="s">
        <v>46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11"/>
      <c r="Q25" s="28"/>
      <c r="R25" s="26"/>
    </row>
    <row r="26" spans="1:18" ht="13.5" customHeight="1" x14ac:dyDescent="0.15">
      <c r="A26" s="6"/>
      <c r="B26" s="81" t="s">
        <v>47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11"/>
      <c r="Q26" s="28"/>
      <c r="R26" s="26"/>
    </row>
    <row r="27" spans="1:18" ht="13.5" customHeight="1" x14ac:dyDescent="0.15">
      <c r="A27" s="6"/>
      <c r="B27" s="12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  <c r="Q27" s="28"/>
      <c r="R27" s="26"/>
    </row>
    <row r="28" spans="1:18" ht="13.5" customHeight="1" x14ac:dyDescent="0.15">
      <c r="A28" s="24"/>
      <c r="B28" s="58" t="s">
        <v>7</v>
      </c>
      <c r="C28" s="30"/>
      <c r="D28" s="18"/>
      <c r="E28" s="18"/>
      <c r="F28" s="18"/>
      <c r="G28" s="18"/>
      <c r="H28" s="18"/>
      <c r="I28" s="18"/>
      <c r="J28" s="18"/>
      <c r="K28" s="18"/>
      <c r="L28" s="18"/>
      <c r="N28" s="18"/>
      <c r="O28" s="59" t="s">
        <v>32</v>
      </c>
      <c r="P28" s="19"/>
      <c r="Q28" s="28"/>
      <c r="R28" s="26"/>
    </row>
    <row r="29" spans="1:18" ht="13.5" customHeight="1" x14ac:dyDescent="0.15">
      <c r="A29" s="24"/>
      <c r="B29" s="60" t="s">
        <v>8</v>
      </c>
      <c r="C29" s="31">
        <v>0.1875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61" t="s">
        <v>28</v>
      </c>
      <c r="O29" s="62" t="s">
        <v>29</v>
      </c>
      <c r="P29" s="19"/>
      <c r="Q29" s="28"/>
      <c r="R29" s="26"/>
    </row>
    <row r="30" spans="1:18" ht="16" customHeight="1" x14ac:dyDescent="0.15">
      <c r="A30" s="24"/>
      <c r="B30" s="60" t="s">
        <v>9</v>
      </c>
      <c r="C30" s="31">
        <v>0.78819444444444453</v>
      </c>
      <c r="D30" s="18"/>
      <c r="E30" s="63" t="str">
        <f>IF(AND(LEFT(C33,3)="Cli",E34&lt;&gt;""),"Please … Set the Course … so scoring can be completed.","")</f>
        <v/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9"/>
      <c r="Q30" s="28"/>
      <c r="R30" s="26"/>
    </row>
    <row r="31" spans="1:18" ht="18" customHeight="1" x14ac:dyDescent="0.15">
      <c r="A31" s="6"/>
      <c r="B31" s="12"/>
      <c r="C31" s="13"/>
      <c r="D31" s="15" t="s">
        <v>51</v>
      </c>
      <c r="E31" s="11">
        <f t="shared" ref="E31:M31" si="0">IF(OR($C$33="",LEFT($C$33,5)="Click"),"",VLOOKUP($C$33&amp;"-fhc",$D$5:$M$14,COLUMN()-3,FALSE))</f>
        <v>17</v>
      </c>
      <c r="F31" s="11">
        <f t="shared" si="0"/>
        <v>15</v>
      </c>
      <c r="G31" s="11">
        <f t="shared" si="0"/>
        <v>11</v>
      </c>
      <c r="H31" s="11">
        <f t="shared" si="0"/>
        <v>1</v>
      </c>
      <c r="I31" s="11">
        <f t="shared" si="0"/>
        <v>7</v>
      </c>
      <c r="J31" s="11">
        <f t="shared" si="0"/>
        <v>5</v>
      </c>
      <c r="K31" s="11">
        <f t="shared" si="0"/>
        <v>13</v>
      </c>
      <c r="L31" s="11">
        <f t="shared" si="0"/>
        <v>9</v>
      </c>
      <c r="M31" s="11">
        <f t="shared" si="0"/>
        <v>3</v>
      </c>
      <c r="N31" s="10"/>
      <c r="O31" s="10"/>
      <c r="P31" s="11"/>
      <c r="Q31" s="28"/>
      <c r="R31" s="26"/>
    </row>
    <row r="32" spans="1:18" ht="19" customHeight="1" x14ac:dyDescent="0.15">
      <c r="A32" s="6"/>
      <c r="B32" s="17"/>
      <c r="C32" s="83" t="str">
        <f>IF(LEFT(C33,2)="Cl","To Set the Course,","Today, we played" &amp;IF(C33=""," ?",""))</f>
        <v>Today, we played</v>
      </c>
      <c r="D32" s="96" t="s">
        <v>53</v>
      </c>
      <c r="E32" s="11">
        <v>1</v>
      </c>
      <c r="F32" s="11">
        <v>2</v>
      </c>
      <c r="G32" s="11">
        <v>3</v>
      </c>
      <c r="H32" s="11">
        <v>4</v>
      </c>
      <c r="I32" s="11">
        <v>5</v>
      </c>
      <c r="J32" s="11">
        <v>6</v>
      </c>
      <c r="K32" s="11">
        <v>7</v>
      </c>
      <c r="L32" s="11">
        <v>8</v>
      </c>
      <c r="M32" s="11">
        <v>9</v>
      </c>
      <c r="N32" s="11" t="s">
        <v>20</v>
      </c>
      <c r="O32" s="93" t="s">
        <v>43</v>
      </c>
      <c r="P32" s="11"/>
      <c r="Q32" s="28"/>
      <c r="R32" s="26"/>
    </row>
    <row r="33" spans="1:18" ht="13.5" customHeight="1" x14ac:dyDescent="0.15">
      <c r="A33" s="24"/>
      <c r="B33" s="29" t="s">
        <v>44</v>
      </c>
      <c r="C33" s="32" t="s">
        <v>6</v>
      </c>
      <c r="D33" s="95" t="s">
        <v>52</v>
      </c>
      <c r="E33" s="11">
        <f t="shared" ref="E33:M33" si="1">IF(OR($C$33="",LEFT($C$33,5)="Click"),"",VLOOKUP($C$33&amp;"-par",$D$5:$M$14,COLUMN()-3,FALSE))</f>
        <v>4</v>
      </c>
      <c r="F33" s="11">
        <f t="shared" si="1"/>
        <v>3</v>
      </c>
      <c r="G33" s="11">
        <f t="shared" si="1"/>
        <v>4</v>
      </c>
      <c r="H33" s="11">
        <f t="shared" si="1"/>
        <v>4</v>
      </c>
      <c r="I33" s="11">
        <f t="shared" si="1"/>
        <v>5</v>
      </c>
      <c r="J33" s="11">
        <f t="shared" si="1"/>
        <v>4</v>
      </c>
      <c r="K33" s="11">
        <f t="shared" si="1"/>
        <v>3</v>
      </c>
      <c r="L33" s="11">
        <f t="shared" si="1"/>
        <v>5</v>
      </c>
      <c r="M33" s="11">
        <f t="shared" si="1"/>
        <v>4</v>
      </c>
      <c r="N33" s="11">
        <f>IF(E33="","",SUM(E33:M33))</f>
        <v>36</v>
      </c>
      <c r="O33" s="94" t="s">
        <v>31</v>
      </c>
      <c r="P33" s="11"/>
      <c r="Q33" s="28"/>
      <c r="R33" s="26"/>
    </row>
    <row r="34" spans="1:18" ht="13.5" customHeight="1" x14ac:dyDescent="0.15">
      <c r="A34" s="24"/>
      <c r="B34" s="29" t="s">
        <v>12</v>
      </c>
      <c r="C34" s="33"/>
      <c r="D34" s="53"/>
      <c r="E34" s="36"/>
      <c r="F34" s="36"/>
      <c r="G34" s="36"/>
      <c r="H34" s="36"/>
      <c r="I34" s="36"/>
      <c r="J34" s="36"/>
      <c r="K34" s="36"/>
      <c r="L34" s="36"/>
      <c r="M34" s="36"/>
      <c r="N34" s="89" t="str">
        <f>IF(OR(COUNTIF(E34:M34,"&gt;0")&lt;9,C34="",ISERROR(MATCH($C$33,$C$6:$C$8,0))),"",SUM(E34:M34))</f>
        <v/>
      </c>
      <c r="O34" s="90" t="str">
        <f t="shared" ref="O34:O35" si="2">IF(C34="","",IF(ISNUMBER(D34),N34-D34,D34))</f>
        <v/>
      </c>
      <c r="P34" s="11"/>
      <c r="Q34" s="28"/>
      <c r="R34" s="26"/>
    </row>
    <row r="35" spans="1:18" ht="13.5" customHeight="1" x14ac:dyDescent="0.15">
      <c r="A35" s="24"/>
      <c r="B35" s="29" t="s">
        <v>12</v>
      </c>
      <c r="C35" s="34"/>
      <c r="D35" s="54"/>
      <c r="E35" s="36"/>
      <c r="F35" s="36"/>
      <c r="G35" s="36"/>
      <c r="H35" s="36"/>
      <c r="I35" s="36"/>
      <c r="J35" s="36"/>
      <c r="K35" s="36"/>
      <c r="L35" s="36"/>
      <c r="M35" s="36"/>
      <c r="N35" s="89" t="str">
        <f>IF(OR(COUNTIF(E35:M35,"&gt;0")&lt;9,C35="",ISERROR(MATCH($C$33,$C$6:$C$8,0))),"",SUM(E35:M35))</f>
        <v/>
      </c>
      <c r="O35" s="90" t="str">
        <f t="shared" si="2"/>
        <v/>
      </c>
      <c r="P35" s="11"/>
      <c r="Q35" s="28"/>
      <c r="R35" s="26"/>
    </row>
    <row r="36" spans="1:18" ht="13.5" customHeight="1" x14ac:dyDescent="0.15">
      <c r="A36" s="6"/>
      <c r="B36" s="12"/>
      <c r="C36" s="84"/>
      <c r="D36" s="85" t="str">
        <f>IF(O29="","","Provisional Team "&amp;O29)</f>
        <v>Provisional Team Best Ball</v>
      </c>
      <c r="E36" s="86" t="str">
        <f t="shared" ref="E36:F36" si="3">IF(OR(LEFT($C$33,3)="Cli",E34=""),"", IF($B$8="T", IF(OR($N34="",$N35=""),"", E34- (IF($D34&gt;E$31/2,1,0) +IF($D34&gt;=(18-RANK(E31,$E31:$M31)),1,0)) +E35- (IF($D35&gt;E$31/2,1,0) +IF($D35&gt;(18-RANK(E31,$E31:$M31)),1,0))), MIN((IF(E34="",99,0)+IFERROR(E34*1,99))- (IF($D34&gt;E$31/2,1,0) +IF($D34&gt;(18-RANK(E31,$E31:$M31)),1,0)), (IF(E35="",99,0)+IFERROR(E35*1,99))- (IF($D35&gt;E$31/2,1,0) +IF($D35&gt;(18-RANK(E31,$E31:$M31)),1,0)))))</f>
        <v/>
      </c>
      <c r="F36" s="86" t="str">
        <f t="shared" si="3"/>
        <v/>
      </c>
      <c r="G36" s="86" t="str">
        <f>IF(OR(LEFT($C$33,3)="Cli",G34=""),"", IF($B$8="T", IF(OR($N34="",$N35=""),"", G34- (IF($D34&gt;G$31/2,1,0) +IF($D34&gt;=(18-RANK(G31,$E31:$M31)),1,0)) +G35- (IF($D35&gt;G$31/2,1,0) +IF($D35&gt;(18-RANK(G31,$E31:$M31)),1,0))), MIN((IF(G34="",99,0)+IFERROR(G34*1,99))- (IF($D34&gt;G$31/2,1,0) +IF($D34&gt;(18-RANK(G31,$E31:$M31)),1,0)), (IF(G35="",99,0)+IFERROR(G35*1,99))- (IF($D35&gt;G$31/2,1,0) +IF($D35&gt;(18-RANK(G31,$E31:$M31)),1,0)))))</f>
        <v/>
      </c>
      <c r="H36" s="86" t="str">
        <f t="shared" ref="H36:M36" si="4">IF(OR(LEFT($C$33,3)="Cli",H34=""),"", IF($B$8="T", IF(OR($N34="",$N35=""),"", H34- (IF($D34&gt;H$31/2,1,0) +IF($D34&gt;=(18-RANK(H31,$E31:$M31)),1,0)) +H35- (IF($D35&gt;H$31/2,1,0) +IF($D35&gt;(18-RANK(H31,$E31:$M31)),1,0))), MIN((IF(H34="",99,0)+IFERROR(H34*1,99))- (IF($D34&gt;H$31/2,1,0) +IF($D34&gt;(18-RANK(H31,$E31:$M31)),1,0)), (IF(H35="",99,0)+IFERROR(H35*1,99))- (IF($D35&gt;H$31/2,1,0) +IF($D35&gt;(18-RANK(H31,$E31:$M31)),1,0)))))</f>
        <v/>
      </c>
      <c r="I36" s="86" t="str">
        <f t="shared" si="4"/>
        <v/>
      </c>
      <c r="J36" s="86" t="str">
        <f t="shared" si="4"/>
        <v/>
      </c>
      <c r="K36" s="86" t="str">
        <f t="shared" si="4"/>
        <v/>
      </c>
      <c r="L36" s="86" t="str">
        <f t="shared" si="4"/>
        <v/>
      </c>
      <c r="M36" s="86" t="str">
        <f t="shared" si="4"/>
        <v/>
      </c>
      <c r="N36" s="87" t="str">
        <f>IF(OR(E36="",COUNTIF(E36:M36,"&gt;50")&gt;0),"",SUM(E36:M36))</f>
        <v/>
      </c>
      <c r="O36" s="88" t="str">
        <f>IF(C36="","",IF(ISNUMBER(D37),N36-D36,$D37))</f>
        <v/>
      </c>
      <c r="P36" s="11"/>
      <c r="Q36" s="28"/>
      <c r="R36" s="26"/>
    </row>
    <row r="37" spans="1:18" ht="13.5" customHeight="1" x14ac:dyDescent="0.15">
      <c r="A37" s="24"/>
      <c r="B37" s="29" t="s">
        <v>13</v>
      </c>
      <c r="C37" s="33"/>
      <c r="D37" s="55"/>
      <c r="E37" s="36"/>
      <c r="F37" s="36"/>
      <c r="G37" s="36"/>
      <c r="H37" s="36"/>
      <c r="I37" s="36"/>
      <c r="J37" s="36"/>
      <c r="K37" s="36"/>
      <c r="L37" s="36"/>
      <c r="M37" s="36"/>
      <c r="N37" s="89" t="str">
        <f t="shared" ref="N37:N44" si="5">IF(OR(COUNTIF(E37:M37,"&gt;0")&lt;9,C37="",ISERROR(MATCH($C$33,$C$6:$C$8,0))),"",SUM(E37:M37))</f>
        <v/>
      </c>
      <c r="O37" s="90" t="str">
        <f>IF(C37="","",IF(ISNUMBER(D37),N37-D37,D37))</f>
        <v/>
      </c>
      <c r="P37" s="11"/>
      <c r="Q37" s="28"/>
      <c r="R37" s="26"/>
    </row>
    <row r="38" spans="1:18" ht="13.5" customHeight="1" x14ac:dyDescent="0.15">
      <c r="A38" s="24"/>
      <c r="B38" s="29" t="s">
        <v>13</v>
      </c>
      <c r="C38" s="35"/>
      <c r="D38" s="53"/>
      <c r="E38" s="36"/>
      <c r="F38" s="36"/>
      <c r="G38" s="36"/>
      <c r="H38" s="36"/>
      <c r="I38" s="36"/>
      <c r="J38" s="36"/>
      <c r="K38" s="36"/>
      <c r="L38" s="36"/>
      <c r="M38" s="36"/>
      <c r="N38" s="89" t="str">
        <f t="shared" si="5"/>
        <v/>
      </c>
      <c r="O38" s="90" t="str">
        <f t="shared" ref="O38:O44" si="6">IF(C38="","",IF(ISNUMBER(D38),N38-D38,D38))</f>
        <v/>
      </c>
      <c r="P38" s="11"/>
      <c r="Q38" s="28"/>
      <c r="R38" s="26"/>
    </row>
    <row r="39" spans="1:18" ht="13.5" customHeight="1" x14ac:dyDescent="0.15">
      <c r="A39" s="24"/>
      <c r="B39" s="29" t="s">
        <v>13</v>
      </c>
      <c r="C39" s="35"/>
      <c r="D39" s="53"/>
      <c r="E39" s="36"/>
      <c r="F39" s="36"/>
      <c r="G39" s="36"/>
      <c r="H39" s="36"/>
      <c r="I39" s="36"/>
      <c r="J39" s="36"/>
      <c r="K39" s="36"/>
      <c r="L39" s="36"/>
      <c r="M39" s="36"/>
      <c r="N39" s="89" t="str">
        <f t="shared" si="5"/>
        <v/>
      </c>
      <c r="O39" s="90" t="str">
        <f t="shared" si="6"/>
        <v/>
      </c>
      <c r="P39" s="11"/>
      <c r="Q39" s="28"/>
      <c r="R39" s="26"/>
    </row>
    <row r="40" spans="1:18" ht="13.5" customHeight="1" x14ac:dyDescent="0.15">
      <c r="A40" s="24"/>
      <c r="B40" s="29" t="s">
        <v>13</v>
      </c>
      <c r="C40" s="35"/>
      <c r="D40" s="53"/>
      <c r="E40" s="36"/>
      <c r="F40" s="36"/>
      <c r="G40" s="36"/>
      <c r="H40" s="36"/>
      <c r="I40" s="36"/>
      <c r="J40" s="36"/>
      <c r="K40" s="36"/>
      <c r="L40" s="36"/>
      <c r="M40" s="36"/>
      <c r="N40" s="89" t="str">
        <f t="shared" si="5"/>
        <v/>
      </c>
      <c r="O40" s="90" t="str">
        <f t="shared" si="6"/>
        <v/>
      </c>
      <c r="P40" s="11"/>
      <c r="Q40" s="28"/>
      <c r="R40" s="26"/>
    </row>
    <row r="41" spans="1:18" ht="13.5" customHeight="1" x14ac:dyDescent="0.15">
      <c r="A41" s="24"/>
      <c r="B41" s="29" t="s">
        <v>13</v>
      </c>
      <c r="C41" s="33"/>
      <c r="D41" s="55"/>
      <c r="E41" s="36"/>
      <c r="F41" s="36"/>
      <c r="G41" s="36"/>
      <c r="H41" s="36"/>
      <c r="I41" s="36"/>
      <c r="J41" s="36"/>
      <c r="K41" s="36"/>
      <c r="L41" s="36"/>
      <c r="M41" s="36"/>
      <c r="N41" s="89" t="str">
        <f t="shared" si="5"/>
        <v/>
      </c>
      <c r="O41" s="90" t="str">
        <f t="shared" si="6"/>
        <v/>
      </c>
      <c r="P41" s="11"/>
      <c r="Q41" s="28"/>
      <c r="R41" s="26"/>
    </row>
    <row r="42" spans="1:18" ht="13.5" customHeight="1" x14ac:dyDescent="0.15">
      <c r="A42" s="24"/>
      <c r="B42" s="29" t="s">
        <v>13</v>
      </c>
      <c r="C42" s="35"/>
      <c r="D42" s="53"/>
      <c r="E42" s="36"/>
      <c r="F42" s="36"/>
      <c r="G42" s="36"/>
      <c r="H42" s="36"/>
      <c r="I42" s="36"/>
      <c r="J42" s="36"/>
      <c r="K42" s="36"/>
      <c r="L42" s="36"/>
      <c r="M42" s="36"/>
      <c r="N42" s="89" t="str">
        <f t="shared" si="5"/>
        <v/>
      </c>
      <c r="O42" s="90" t="str">
        <f t="shared" si="6"/>
        <v/>
      </c>
      <c r="P42" s="11"/>
      <c r="Q42" s="28"/>
      <c r="R42" s="26"/>
    </row>
    <row r="43" spans="1:18" ht="13.5" customHeight="1" x14ac:dyDescent="0.15">
      <c r="A43" s="24"/>
      <c r="B43" s="29" t="s">
        <v>13</v>
      </c>
      <c r="C43" s="35"/>
      <c r="D43" s="53"/>
      <c r="E43" s="36"/>
      <c r="F43" s="36"/>
      <c r="G43" s="36"/>
      <c r="H43" s="36"/>
      <c r="I43" s="36"/>
      <c r="J43" s="36"/>
      <c r="K43" s="36"/>
      <c r="L43" s="36"/>
      <c r="M43" s="36"/>
      <c r="N43" s="89" t="str">
        <f t="shared" si="5"/>
        <v/>
      </c>
      <c r="O43" s="90" t="str">
        <f t="shared" si="6"/>
        <v/>
      </c>
      <c r="P43" s="11"/>
      <c r="Q43" s="28"/>
      <c r="R43" s="26"/>
    </row>
    <row r="44" spans="1:18" ht="13.5" customHeight="1" x14ac:dyDescent="0.15">
      <c r="A44" s="24"/>
      <c r="B44" s="29" t="s">
        <v>13</v>
      </c>
      <c r="C44" s="35"/>
      <c r="D44" s="53"/>
      <c r="E44" s="36"/>
      <c r="F44" s="36"/>
      <c r="G44" s="36"/>
      <c r="H44" s="36"/>
      <c r="I44" s="36"/>
      <c r="J44" s="36"/>
      <c r="K44" s="36"/>
      <c r="L44" s="36"/>
      <c r="M44" s="36"/>
      <c r="N44" s="89" t="str">
        <f t="shared" si="5"/>
        <v/>
      </c>
      <c r="O44" s="90" t="str">
        <f t="shared" si="6"/>
        <v/>
      </c>
      <c r="P44" s="11"/>
      <c r="Q44" s="28"/>
      <c r="R44" s="26"/>
    </row>
    <row r="45" spans="1:18" ht="13.5" customHeight="1" x14ac:dyDescent="0.15">
      <c r="A45" s="24"/>
      <c r="B45" s="64"/>
      <c r="C45" s="65" t="s">
        <v>33</v>
      </c>
      <c r="D45" s="66"/>
      <c r="E45" s="67"/>
      <c r="F45" s="67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68"/>
      <c r="R45" s="26"/>
    </row>
    <row r="46" spans="1:18" ht="13.5" customHeight="1" x14ac:dyDescent="0.15">
      <c r="A46" s="69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70"/>
    </row>
  </sheetData>
  <sheetProtection algorithmName="SHA-512" hashValue="PqGQnd84AwbZAovv0DcHTzYxydsfc7DfOXm+WUTjte2K73oAx82u7yzcO5R2z1tWhzI800vBj1BSFR+bpaTC/A==" saltValue="HGXwa4IOB6WPAccsW71OZw==" spinCount="100000" sheet="1" objects="1" scenarios="1"/>
  <conditionalFormatting sqref="C33">
    <cfRule type="cellIs" dxfId="28" priority="14" stopIfTrue="1" operator="equal">
      <formula>"CHARDONNAY"</formula>
    </cfRule>
    <cfRule type="cellIs" dxfId="27" priority="17" stopIfTrue="1" operator="equal">
      <formula>"MERLOT"</formula>
    </cfRule>
    <cfRule type="cellIs" dxfId="26" priority="18" stopIfTrue="1" operator="equal">
      <formula>"ZINFANDEL"</formula>
    </cfRule>
    <cfRule type="expression" dxfId="25" priority="19">
      <formula>ISERROR(MATCH($C$33,$C$6:$C$8,0))</formula>
    </cfRule>
  </conditionalFormatting>
  <conditionalFormatting sqref="C32">
    <cfRule type="expression" dxfId="24" priority="20" stopIfTrue="1">
      <formula>ISERROR(MATCH($C$33,$C$6:$C$8,0))</formula>
    </cfRule>
  </conditionalFormatting>
  <conditionalFormatting sqref="E34:M35">
    <cfRule type="expression" dxfId="23" priority="12">
      <formula>ISERROR(MATCH($C$33,$C$6:$C$8,0))</formula>
    </cfRule>
  </conditionalFormatting>
  <conditionalFormatting sqref="E34:M36">
    <cfRule type="expression" dxfId="22" priority="10">
      <formula>FIND("x",E34)</formula>
    </cfRule>
    <cfRule type="expression" dxfId="21" priority="11">
      <formula>FIND("X",E34)</formula>
    </cfRule>
  </conditionalFormatting>
  <conditionalFormatting sqref="C36:N36">
    <cfRule type="expression" dxfId="20" priority="21">
      <formula>$O$29=""</formula>
    </cfRule>
  </conditionalFormatting>
  <conditionalFormatting sqref="E36:M36">
    <cfRule type="expression" dxfId="19" priority="9">
      <formula>E36&gt;=50</formula>
    </cfRule>
  </conditionalFormatting>
  <conditionalFormatting sqref="E37:M44">
    <cfRule type="expression" dxfId="18" priority="3">
      <formula>ISERROR(MATCH($C$33,$C$6:$C$8,0))</formula>
    </cfRule>
  </conditionalFormatting>
  <conditionalFormatting sqref="E37:M44">
    <cfRule type="expression" dxfId="17" priority="1">
      <formula>FIND("x",E37)</formula>
    </cfRule>
    <cfRule type="expression" dxfId="16" priority="2">
      <formula>FIND("X",E37)</formula>
    </cfRule>
  </conditionalFormatting>
  <dataValidations count="2">
    <dataValidation type="list" showErrorMessage="1" errorTitle="Pick_A_9" error="Pick the coase from the pulldown list." sqref="C33" xr:uid="{00000000-0002-0000-0000-000000000000}">
      <formula1>$C$5:$C8</formula1>
    </dataValidation>
    <dataValidation type="list" allowBlank="1" showInputMessage="1" showErrorMessage="1" sqref="O29" xr:uid="{00000000-0002-0000-0000-000001000000}">
      <formula1>$B$6:$B$7</formula1>
    </dataValidation>
  </dataValidations>
  <pageMargins left="0.74791666666666667" right="0.74791666666666667" top="0.98402777777777772" bottom="0.98402777777777772" header="0.51180555555555551" footer="0.51180555555555551"/>
  <pageSetup firstPageNumber="0" fitToHeight="5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46"/>
  <sheetViews>
    <sheetView topLeftCell="A2" workbookViewId="0">
      <selection activeCell="C32" sqref="C32"/>
    </sheetView>
  </sheetViews>
  <sheetFormatPr baseColWidth="10" defaultColWidth="8.83203125" defaultRowHeight="13.5" customHeight="1" x14ac:dyDescent="0.15"/>
  <cols>
    <col min="1" max="1" width="1" style="23" customWidth="1"/>
    <col min="2" max="2" width="16.5" style="23" customWidth="1"/>
    <col min="3" max="3" width="20.83203125" style="23" customWidth="1"/>
    <col min="4" max="4" width="11.5" style="23" customWidth="1"/>
    <col min="5" max="13" width="5.6640625" style="23" customWidth="1"/>
    <col min="14" max="17" width="6.1640625" style="23" customWidth="1"/>
    <col min="18" max="18" width="1.5" style="23" customWidth="1"/>
    <col min="19" max="19" width="0.83203125" style="23" customWidth="1"/>
    <col min="20" max="16384" width="8.83203125" style="23"/>
  </cols>
  <sheetData>
    <row r="1" spans="1:19" ht="13.5" customHeight="1" x14ac:dyDescent="0.2">
      <c r="A1" s="2"/>
      <c r="B1" s="3" t="s">
        <v>19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26"/>
    </row>
    <row r="2" spans="1:19" ht="13.5" customHeight="1" x14ac:dyDescent="0.15">
      <c r="A2" s="6"/>
      <c r="B2" s="7" t="s">
        <v>40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73"/>
      <c r="S2" s="26"/>
    </row>
    <row r="3" spans="1:19" ht="13.5" customHeight="1" x14ac:dyDescent="0.15">
      <c r="A3" s="6"/>
      <c r="B3" s="9" t="s">
        <v>41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74"/>
      <c r="S3" s="26"/>
    </row>
    <row r="4" spans="1:19" ht="13.5" customHeight="1" x14ac:dyDescent="0.15">
      <c r="A4" s="6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74"/>
      <c r="S4" s="26"/>
    </row>
    <row r="5" spans="1:19" ht="13.5" hidden="1" customHeight="1" x14ac:dyDescent="0.15">
      <c r="A5" s="6"/>
      <c r="B5" s="9"/>
      <c r="C5" s="10" t="s">
        <v>3</v>
      </c>
      <c r="D5" s="10"/>
      <c r="E5" s="11"/>
      <c r="F5" s="11"/>
      <c r="G5" s="11"/>
      <c r="H5" s="11"/>
      <c r="I5" s="11"/>
      <c r="J5" s="11"/>
      <c r="K5" s="11"/>
      <c r="L5" s="11"/>
      <c r="M5" s="11"/>
      <c r="N5" s="10"/>
      <c r="O5" s="10"/>
      <c r="P5" s="10"/>
      <c r="Q5" s="10"/>
      <c r="R5" s="74"/>
      <c r="S5" s="26"/>
    </row>
    <row r="6" spans="1:19" ht="13.5" hidden="1" customHeight="1" x14ac:dyDescent="0.15">
      <c r="A6" s="6"/>
      <c r="B6" s="9"/>
      <c r="C6" s="10" t="s">
        <v>4</v>
      </c>
      <c r="D6" s="10" t="str">
        <f>C6&amp;"-par"</f>
        <v>CHARDONNAY-par</v>
      </c>
      <c r="E6" s="15">
        <v>4</v>
      </c>
      <c r="F6" s="15">
        <v>4</v>
      </c>
      <c r="G6" s="15">
        <v>3</v>
      </c>
      <c r="H6" s="15">
        <v>4</v>
      </c>
      <c r="I6" s="15">
        <v>5</v>
      </c>
      <c r="J6" s="15">
        <v>4</v>
      </c>
      <c r="K6" s="15">
        <v>3</v>
      </c>
      <c r="L6" s="15">
        <v>4</v>
      </c>
      <c r="M6" s="15">
        <v>5</v>
      </c>
      <c r="N6" s="10" t="s">
        <v>14</v>
      </c>
      <c r="O6" s="10"/>
      <c r="P6" s="10"/>
      <c r="Q6" s="10"/>
      <c r="R6" s="74"/>
      <c r="S6" s="26"/>
    </row>
    <row r="7" spans="1:19" ht="13.5" hidden="1" customHeight="1" x14ac:dyDescent="0.15">
      <c r="A7" s="6"/>
      <c r="B7" s="9"/>
      <c r="C7" s="10" t="s">
        <v>5</v>
      </c>
      <c r="D7" s="10" t="str">
        <f>C7&amp;"-par"</f>
        <v>MERLOT-par</v>
      </c>
      <c r="E7" s="15">
        <v>4</v>
      </c>
      <c r="F7" s="15">
        <v>3</v>
      </c>
      <c r="G7" s="15">
        <v>4</v>
      </c>
      <c r="H7" s="15">
        <v>4</v>
      </c>
      <c r="I7" s="15">
        <v>5</v>
      </c>
      <c r="J7" s="15">
        <v>4</v>
      </c>
      <c r="K7" s="15">
        <v>4</v>
      </c>
      <c r="L7" s="15">
        <v>3</v>
      </c>
      <c r="M7" s="15">
        <v>5</v>
      </c>
      <c r="N7" s="10" t="s">
        <v>14</v>
      </c>
      <c r="O7" s="10"/>
      <c r="P7" s="10"/>
      <c r="Q7" s="10"/>
      <c r="R7" s="74"/>
      <c r="S7" s="26"/>
    </row>
    <row r="8" spans="1:19" ht="13.5" hidden="1" customHeight="1" x14ac:dyDescent="0.15">
      <c r="A8" s="6"/>
      <c r="B8" s="9"/>
      <c r="C8" s="10" t="s">
        <v>6</v>
      </c>
      <c r="D8" s="10" t="str">
        <f>C8&amp;"-par"</f>
        <v>ZINFANDEL-par</v>
      </c>
      <c r="E8" s="15">
        <v>4</v>
      </c>
      <c r="F8" s="15">
        <v>3</v>
      </c>
      <c r="G8" s="15">
        <v>4</v>
      </c>
      <c r="H8" s="15">
        <v>4</v>
      </c>
      <c r="I8" s="15">
        <v>5</v>
      </c>
      <c r="J8" s="15">
        <v>4</v>
      </c>
      <c r="K8" s="15">
        <v>3</v>
      </c>
      <c r="L8" s="15">
        <v>5</v>
      </c>
      <c r="M8" s="15">
        <v>4</v>
      </c>
      <c r="N8" s="10" t="s">
        <v>14</v>
      </c>
      <c r="O8" s="10"/>
      <c r="P8" s="10"/>
      <c r="Q8" s="10"/>
      <c r="R8" s="74"/>
      <c r="S8" s="26"/>
    </row>
    <row r="9" spans="1:19" ht="13.5" hidden="1" customHeight="1" x14ac:dyDescent="0.15">
      <c r="A9" s="6"/>
      <c r="B9" s="9"/>
      <c r="C9" s="10" t="s">
        <v>4</v>
      </c>
      <c r="D9" s="10" t="str">
        <f>C9&amp;"-fhc"</f>
        <v>CHARDONNAY-fhc</v>
      </c>
      <c r="E9" s="15">
        <v>7</v>
      </c>
      <c r="F9" s="15">
        <v>17</v>
      </c>
      <c r="G9" s="15">
        <v>11</v>
      </c>
      <c r="H9" s="15">
        <v>9</v>
      </c>
      <c r="I9" s="15">
        <v>5</v>
      </c>
      <c r="J9" s="15">
        <v>3</v>
      </c>
      <c r="K9" s="15">
        <v>13</v>
      </c>
      <c r="L9" s="15">
        <v>1</v>
      </c>
      <c r="M9" s="15">
        <v>15</v>
      </c>
      <c r="N9" s="10" t="s">
        <v>15</v>
      </c>
      <c r="O9" s="10" t="s">
        <v>35</v>
      </c>
      <c r="P9" s="10"/>
      <c r="Q9" s="10"/>
      <c r="R9" s="74"/>
      <c r="S9" s="26"/>
    </row>
    <row r="10" spans="1:19" ht="13.5" hidden="1" customHeight="1" x14ac:dyDescent="0.15">
      <c r="A10" s="6"/>
      <c r="B10" s="9"/>
      <c r="C10" s="10" t="s">
        <v>5</v>
      </c>
      <c r="D10" s="10" t="str">
        <f>C10&amp;"-fhc"</f>
        <v>MERLOT-fhc</v>
      </c>
      <c r="E10" s="15">
        <v>3</v>
      </c>
      <c r="F10" s="15">
        <v>15</v>
      </c>
      <c r="G10" s="15">
        <v>13</v>
      </c>
      <c r="H10" s="15">
        <v>7</v>
      </c>
      <c r="I10" s="15">
        <v>11</v>
      </c>
      <c r="J10" s="15">
        <v>1</v>
      </c>
      <c r="K10" s="15">
        <v>5</v>
      </c>
      <c r="L10" s="15">
        <v>17</v>
      </c>
      <c r="M10" s="15">
        <v>9</v>
      </c>
      <c r="N10" s="10" t="s">
        <v>15</v>
      </c>
      <c r="O10" s="10" t="s">
        <v>35</v>
      </c>
      <c r="P10" s="10"/>
      <c r="Q10" s="10"/>
      <c r="R10" s="74"/>
      <c r="S10" s="26"/>
    </row>
    <row r="11" spans="1:19" ht="13.5" hidden="1" customHeight="1" x14ac:dyDescent="0.15">
      <c r="A11" s="6"/>
      <c r="B11" s="9"/>
      <c r="C11" s="10" t="s">
        <v>6</v>
      </c>
      <c r="D11" s="10" t="str">
        <f>C11&amp;"-fhc"</f>
        <v>ZINFANDEL-fhc</v>
      </c>
      <c r="E11" s="15">
        <v>17</v>
      </c>
      <c r="F11" s="15">
        <v>15</v>
      </c>
      <c r="G11" s="15">
        <v>11</v>
      </c>
      <c r="H11" s="15">
        <v>1</v>
      </c>
      <c r="I11" s="15">
        <v>7</v>
      </c>
      <c r="J11" s="15">
        <v>5</v>
      </c>
      <c r="K11" s="15">
        <v>13</v>
      </c>
      <c r="L11" s="15">
        <v>9</v>
      </c>
      <c r="M11" s="15">
        <v>3</v>
      </c>
      <c r="N11" s="10" t="s">
        <v>15</v>
      </c>
      <c r="O11" s="10" t="s">
        <v>35</v>
      </c>
      <c r="P11" s="10"/>
      <c r="Q11" s="10"/>
      <c r="R11" s="74"/>
      <c r="S11" s="26"/>
    </row>
    <row r="12" spans="1:19" ht="13.5" hidden="1" customHeight="1" x14ac:dyDescent="0.15">
      <c r="A12" s="6"/>
      <c r="B12" s="9"/>
      <c r="C12" s="10" t="s">
        <v>4</v>
      </c>
      <c r="D12" s="10" t="str">
        <f>C12&amp;"-bhc"</f>
        <v>CHARDONNAY-bhc</v>
      </c>
      <c r="E12" s="15">
        <v>8</v>
      </c>
      <c r="F12" s="15">
        <v>18</v>
      </c>
      <c r="G12" s="15">
        <v>12</v>
      </c>
      <c r="H12" s="15">
        <v>10</v>
      </c>
      <c r="I12" s="15">
        <v>6</v>
      </c>
      <c r="J12" s="15">
        <v>4</v>
      </c>
      <c r="K12" s="15">
        <v>14</v>
      </c>
      <c r="L12" s="15">
        <v>2</v>
      </c>
      <c r="M12" s="15">
        <v>16</v>
      </c>
      <c r="N12" s="10" t="s">
        <v>16</v>
      </c>
      <c r="O12" s="10" t="s">
        <v>36</v>
      </c>
      <c r="P12" s="10"/>
      <c r="Q12" s="10"/>
      <c r="R12" s="74"/>
      <c r="S12" s="26"/>
    </row>
    <row r="13" spans="1:19" ht="13.5" hidden="1" customHeight="1" x14ac:dyDescent="0.15">
      <c r="A13" s="6"/>
      <c r="B13" s="9"/>
      <c r="C13" s="10" t="s">
        <v>5</v>
      </c>
      <c r="D13" s="10" t="str">
        <f>C13&amp;"-bhc"</f>
        <v>MERLOT-bhc</v>
      </c>
      <c r="E13" s="15">
        <v>4</v>
      </c>
      <c r="F13" s="15">
        <v>16</v>
      </c>
      <c r="G13" s="15">
        <v>14</v>
      </c>
      <c r="H13" s="15">
        <v>8</v>
      </c>
      <c r="I13" s="15">
        <v>12</v>
      </c>
      <c r="J13" s="15">
        <v>2</v>
      </c>
      <c r="K13" s="15">
        <v>6</v>
      </c>
      <c r="L13" s="15">
        <v>18</v>
      </c>
      <c r="M13" s="15">
        <v>10</v>
      </c>
      <c r="N13" s="10" t="s">
        <v>16</v>
      </c>
      <c r="O13" s="10" t="s">
        <v>36</v>
      </c>
      <c r="P13" s="10"/>
      <c r="Q13" s="10"/>
      <c r="R13" s="74"/>
      <c r="S13" s="26"/>
    </row>
    <row r="14" spans="1:19" ht="13.5" hidden="1" customHeight="1" x14ac:dyDescent="0.15">
      <c r="A14" s="6"/>
      <c r="B14" s="9"/>
      <c r="C14" s="10" t="s">
        <v>6</v>
      </c>
      <c r="D14" s="10" t="str">
        <f>C14&amp;"-bhc"</f>
        <v>ZINFANDEL-bhc</v>
      </c>
      <c r="E14" s="15">
        <v>18</v>
      </c>
      <c r="F14" s="15">
        <v>16</v>
      </c>
      <c r="G14" s="15">
        <v>12</v>
      </c>
      <c r="H14" s="15">
        <v>2</v>
      </c>
      <c r="I14" s="15">
        <v>8</v>
      </c>
      <c r="J14" s="15">
        <v>6</v>
      </c>
      <c r="K14" s="15">
        <v>14</v>
      </c>
      <c r="L14" s="15">
        <v>10</v>
      </c>
      <c r="M14" s="15">
        <v>4</v>
      </c>
      <c r="N14" s="10" t="s">
        <v>16</v>
      </c>
      <c r="O14" s="10" t="s">
        <v>36</v>
      </c>
      <c r="P14" s="10"/>
      <c r="Q14" s="10"/>
      <c r="R14" s="74"/>
      <c r="S14" s="26"/>
    </row>
    <row r="15" spans="1:19" ht="13" customHeight="1" x14ac:dyDescent="0.15">
      <c r="A15" s="6"/>
      <c r="B15" s="12"/>
      <c r="C15" s="13"/>
      <c r="D15" s="15" t="s">
        <v>51</v>
      </c>
      <c r="E15" s="11">
        <f>IF(LEFT($C$17,5)="Click","",VLOOKUP($C$17&amp;"-fhc",$D$5:$M$14,2,FALSE))</f>
        <v>17</v>
      </c>
      <c r="F15" s="11">
        <f>IF(LEFT($C$17,5)="Click","",VLOOKUP($C$17&amp;"-fhc",$D$5:$M$14,3,FALSE))</f>
        <v>15</v>
      </c>
      <c r="G15" s="11">
        <f>IF(LEFT($C$17,5)="Click","",VLOOKUP($C$17&amp;"-fhc",$D$5:$M$14,4,FALSE))</f>
        <v>11</v>
      </c>
      <c r="H15" s="11">
        <f>IF(LEFT($C$17,5)="Click","",VLOOKUP($C$17&amp;"-fhc",$D$5:$M$14,5,FALSE))</f>
        <v>1</v>
      </c>
      <c r="I15" s="11">
        <f>IF(LEFT($C$17,5)="Click","",VLOOKUP($C$17&amp;"-fhc",$D$5:$M$14,6,FALSE))</f>
        <v>7</v>
      </c>
      <c r="J15" s="11">
        <f>IF(LEFT($C$17,5)="Click","",VLOOKUP($C$17&amp;"-fhc",$D$5:$M$14,7,FALSE))</f>
        <v>5</v>
      </c>
      <c r="K15" s="11">
        <f>IF(LEFT($C$17,5)="Click","",VLOOKUP($C$17&amp;"-fhc",$D$5:$M$14,8,FALSE))</f>
        <v>13</v>
      </c>
      <c r="L15" s="11">
        <f>IF(LEFT($C$17,5)="Click","",VLOOKUP($C$17&amp;"-fhc",$D$5:$M$14,9,FALSE))</f>
        <v>9</v>
      </c>
      <c r="M15" s="11">
        <f>IF(LEFT($C$17,5)="Click","",VLOOKUP($C$17&amp;"-fhc",$D$5:$M$14,10,FALSE))</f>
        <v>3</v>
      </c>
      <c r="N15" s="10"/>
      <c r="O15" s="10"/>
      <c r="P15" s="11"/>
      <c r="Q15" s="11"/>
      <c r="R15" s="47"/>
      <c r="S15" s="26"/>
    </row>
    <row r="16" spans="1:19" ht="13" customHeight="1" thickBot="1" x14ac:dyDescent="0.2">
      <c r="A16" s="6"/>
      <c r="B16" s="17"/>
      <c r="C16" s="14" t="s">
        <v>38</v>
      </c>
      <c r="D16" s="96" t="s">
        <v>53</v>
      </c>
      <c r="E16" s="11">
        <v>1</v>
      </c>
      <c r="F16" s="11">
        <v>2</v>
      </c>
      <c r="G16" s="11">
        <v>3</v>
      </c>
      <c r="H16" s="11">
        <v>4</v>
      </c>
      <c r="I16" s="11">
        <v>5</v>
      </c>
      <c r="J16" s="11">
        <v>6</v>
      </c>
      <c r="K16" s="11">
        <v>7</v>
      </c>
      <c r="L16" s="11">
        <v>8</v>
      </c>
      <c r="M16" s="11">
        <v>9</v>
      </c>
      <c r="N16" s="11" t="s">
        <v>20</v>
      </c>
      <c r="O16" s="1"/>
      <c r="P16" s="11"/>
      <c r="Q16" s="11"/>
      <c r="R16" s="47"/>
      <c r="S16" s="26"/>
    </row>
    <row r="17" spans="1:19" ht="13" customHeight="1" thickBot="1" x14ac:dyDescent="0.2">
      <c r="A17" s="6"/>
      <c r="B17" s="12" t="s">
        <v>11</v>
      </c>
      <c r="C17" s="75" t="str">
        <f>IF('TGL scorecard'!C33="","",'TGL scorecard'!C33)</f>
        <v>ZINFANDEL</v>
      </c>
      <c r="D17" s="95" t="s">
        <v>52</v>
      </c>
      <c r="E17" s="11">
        <f>IF(LEFT($C$17,5)="Click","",VLOOKUP($C$17&amp;"-par",$D$5:$M$14,2,FALSE))</f>
        <v>4</v>
      </c>
      <c r="F17" s="11">
        <f>IF(LEFT($C$17,5)="Click","",VLOOKUP($C$17&amp;"-par",$D$5:$M$14,3,FALSE))</f>
        <v>3</v>
      </c>
      <c r="G17" s="11">
        <f>IF(LEFT($C$17,5)="Click","",VLOOKUP($C$17&amp;"-par",$D$5:$M$14,4,FALSE))</f>
        <v>4</v>
      </c>
      <c r="H17" s="11">
        <f>IF(LEFT($C$17,5)="Click","",VLOOKUP($C$17&amp;"-par",$D$5:$M$14,5,FALSE))</f>
        <v>4</v>
      </c>
      <c r="I17" s="11">
        <f>IF(LEFT($C$17,5)="Click","",VLOOKUP($C$17&amp;"-par",$D$5:$M$14,6,FALSE))</f>
        <v>5</v>
      </c>
      <c r="J17" s="11">
        <f>IF(LEFT($C$17,5)="Click","",VLOOKUP($C$17&amp;"-par",$D$5:$M$14,7,FALSE))</f>
        <v>4</v>
      </c>
      <c r="K17" s="11">
        <f>IF(LEFT($C$17,5)="Click","",VLOOKUP($C$17&amp;"-par",$D$5:$M$14,8,FALSE))</f>
        <v>3</v>
      </c>
      <c r="L17" s="11">
        <f>IF(LEFT($C$17,5)="Click","",VLOOKUP($C$17&amp;"-par",$D$5:$M$14,9,FALSE))</f>
        <v>5</v>
      </c>
      <c r="M17" s="11">
        <f>IF(LEFT($C$17,5)="Click","",VLOOKUP($C$17&amp;"-par",$D$5:$M$14,10,FALSE))</f>
        <v>4</v>
      </c>
      <c r="N17" s="11">
        <f>SUM(E17:M17)</f>
        <v>36</v>
      </c>
      <c r="O17" s="10" t="s">
        <v>39</v>
      </c>
      <c r="P17" s="11"/>
      <c r="Q17" s="11"/>
      <c r="R17" s="47"/>
      <c r="S17" s="26"/>
    </row>
    <row r="18" spans="1:19" ht="13.5" customHeight="1" x14ac:dyDescent="0.15">
      <c r="A18" s="6"/>
      <c r="B18" s="12" t="s">
        <v>12</v>
      </c>
      <c r="C18" s="76" t="str">
        <f>IF('TGL scorecard'!C34="","",'TGL scorecard'!C34)</f>
        <v/>
      </c>
      <c r="D18" s="37" t="str">
        <f>IF('TGL scorecard'!D34="","",'TGL scorecard'!D34)</f>
        <v/>
      </c>
      <c r="E18" s="43" t="str">
        <f>IF('TGL scorecard'!E34="","",'TGL scorecard'!E34)</f>
        <v/>
      </c>
      <c r="F18" s="43" t="str">
        <f>IF('TGL scorecard'!F34="","",'TGL scorecard'!F34)</f>
        <v/>
      </c>
      <c r="G18" s="43" t="str">
        <f>IF('TGL scorecard'!G34="","",'TGL scorecard'!G34)</f>
        <v/>
      </c>
      <c r="H18" s="43" t="str">
        <f>IF('TGL scorecard'!H34="","",'TGL scorecard'!H34)</f>
        <v/>
      </c>
      <c r="I18" s="43" t="str">
        <f>IF('TGL scorecard'!I34="","",'TGL scorecard'!I34)</f>
        <v/>
      </c>
      <c r="J18" s="43" t="str">
        <f>IF('TGL scorecard'!J34="","",'TGL scorecard'!J34)</f>
        <v/>
      </c>
      <c r="K18" s="43" t="str">
        <f>IF('TGL scorecard'!K34="","",'TGL scorecard'!K34)</f>
        <v/>
      </c>
      <c r="L18" s="43" t="str">
        <f>IF('TGL scorecard'!L34="","",'TGL scorecard'!L34)</f>
        <v/>
      </c>
      <c r="M18" s="43" t="str">
        <f>IF('TGL scorecard'!M34="","",'TGL scorecard'!M34)</f>
        <v/>
      </c>
      <c r="N18" s="41" t="str">
        <f>IF('TGL scorecard'!N34="","",'TGL scorecard'!N34)</f>
        <v/>
      </c>
      <c r="O18" s="41" t="str">
        <f>IF('TGL scorecard'!O34="","",'TGL scorecard'!O34)</f>
        <v/>
      </c>
      <c r="P18" s="11"/>
      <c r="Q18" s="11"/>
      <c r="R18" s="47"/>
      <c r="S18" s="26"/>
    </row>
    <row r="19" spans="1:19" ht="13.5" customHeight="1" x14ac:dyDescent="0.15">
      <c r="A19" s="6"/>
      <c r="B19" s="12" t="s">
        <v>12</v>
      </c>
      <c r="C19" s="76" t="str">
        <f>IF('TGL scorecard'!C35="","",'TGL scorecard'!C35)</f>
        <v/>
      </c>
      <c r="D19" s="37" t="str">
        <f>IF('TGL scorecard'!D35="","",'TGL scorecard'!D35)</f>
        <v/>
      </c>
      <c r="E19" s="43" t="str">
        <f>IF('TGL scorecard'!E35="","",'TGL scorecard'!E35)</f>
        <v/>
      </c>
      <c r="F19" s="43" t="str">
        <f>IF('TGL scorecard'!F35="","",'TGL scorecard'!F35)</f>
        <v/>
      </c>
      <c r="G19" s="43" t="str">
        <f>IF('TGL scorecard'!G35="","",'TGL scorecard'!G35)</f>
        <v/>
      </c>
      <c r="H19" s="43" t="str">
        <f>IF('TGL scorecard'!H35="","",'TGL scorecard'!H35)</f>
        <v/>
      </c>
      <c r="I19" s="43" t="str">
        <f>IF('TGL scorecard'!I35="","",'TGL scorecard'!I35)</f>
        <v/>
      </c>
      <c r="J19" s="43" t="str">
        <f>IF('TGL scorecard'!J35="","",'TGL scorecard'!J35)</f>
        <v/>
      </c>
      <c r="K19" s="43" t="str">
        <f>IF('TGL scorecard'!K35="","",'TGL scorecard'!K35)</f>
        <v/>
      </c>
      <c r="L19" s="43" t="str">
        <f>IF('TGL scorecard'!L35="","",'TGL scorecard'!L35)</f>
        <v/>
      </c>
      <c r="M19" s="43" t="str">
        <f>IF('TGL scorecard'!M35="","",'TGL scorecard'!M35)</f>
        <v/>
      </c>
      <c r="N19" s="41" t="str">
        <f>IF('TGL scorecard'!N35="","",'TGL scorecard'!N35)</f>
        <v/>
      </c>
      <c r="O19" s="41" t="str">
        <f>IF('TGL scorecard'!O35="","",'TGL scorecard'!O35)</f>
        <v/>
      </c>
      <c r="P19" s="11"/>
      <c r="Q19" s="11"/>
      <c r="R19" s="47"/>
      <c r="S19" s="26"/>
    </row>
    <row r="20" spans="1:19" ht="13.5" customHeight="1" x14ac:dyDescent="0.15">
      <c r="A20" s="6"/>
      <c r="B20" s="12"/>
      <c r="C20" s="38" t="str">
        <f>IF('TGL scorecard'!C36="","",'TGL scorecard'!C36)</f>
        <v/>
      </c>
      <c r="D20" s="39" t="str">
        <f>IF('TGL scorecard'!D36="","",'TGL scorecard'!D36)</f>
        <v>Provisional Team Best Ball</v>
      </c>
      <c r="E20" s="40" t="str">
        <f>IF('TGL scorecard'!E36="","",'TGL scorecard'!E36)</f>
        <v/>
      </c>
      <c r="F20" s="40" t="str">
        <f>IF('TGL scorecard'!F36="","",'TGL scorecard'!F36)</f>
        <v/>
      </c>
      <c r="G20" s="40" t="str">
        <f>IF('TGL scorecard'!G36="","",'TGL scorecard'!G36)</f>
        <v/>
      </c>
      <c r="H20" s="40" t="str">
        <f>IF('TGL scorecard'!H36="","",'TGL scorecard'!H36)</f>
        <v/>
      </c>
      <c r="I20" s="40" t="str">
        <f>IF('TGL scorecard'!I36="","",'TGL scorecard'!I36)</f>
        <v/>
      </c>
      <c r="J20" s="40" t="str">
        <f>IF('TGL scorecard'!J36="","",'TGL scorecard'!J36)</f>
        <v/>
      </c>
      <c r="K20" s="40" t="str">
        <f>IF('TGL scorecard'!K36="","",'TGL scorecard'!K36)</f>
        <v/>
      </c>
      <c r="L20" s="40" t="str">
        <f>IF('TGL scorecard'!L36="","",'TGL scorecard'!L36)</f>
        <v/>
      </c>
      <c r="M20" s="40" t="str">
        <f>IF('TGL scorecard'!M36="","",'TGL scorecard'!M36)</f>
        <v/>
      </c>
      <c r="N20" s="42" t="str">
        <f>IF('TGL scorecard'!N36="","",'TGL scorecard'!N36)</f>
        <v/>
      </c>
      <c r="O20" s="42" t="str">
        <f>IF('TGL scorecard'!O36="","",'TGL scorecard'!O36)</f>
        <v/>
      </c>
      <c r="P20" s="11"/>
      <c r="Q20" s="11"/>
      <c r="R20" s="47"/>
      <c r="S20" s="26"/>
    </row>
    <row r="21" spans="1:19" ht="13.5" customHeight="1" x14ac:dyDescent="0.15">
      <c r="A21" s="6"/>
      <c r="B21" s="12" t="s">
        <v>13</v>
      </c>
      <c r="C21" s="76" t="str">
        <f>IF('TGL scorecard'!C37="","",'TGL scorecard'!C37)</f>
        <v/>
      </c>
      <c r="D21" s="37" t="str">
        <f>IF('TGL scorecard'!D37="","",'TGL scorecard'!D37)</f>
        <v/>
      </c>
      <c r="E21" s="43" t="str">
        <f>IF('TGL scorecard'!E37="","",'TGL scorecard'!E37)</f>
        <v/>
      </c>
      <c r="F21" s="43" t="str">
        <f>IF('TGL scorecard'!F37="","",'TGL scorecard'!F37)</f>
        <v/>
      </c>
      <c r="G21" s="43" t="str">
        <f>IF('TGL scorecard'!G37="","",'TGL scorecard'!G37)</f>
        <v/>
      </c>
      <c r="H21" s="43" t="str">
        <f>IF('TGL scorecard'!H37="","",'TGL scorecard'!H37)</f>
        <v/>
      </c>
      <c r="I21" s="43" t="str">
        <f>IF('TGL scorecard'!I37="","",'TGL scorecard'!I37)</f>
        <v/>
      </c>
      <c r="J21" s="43" t="str">
        <f>IF('TGL scorecard'!J37="","",'TGL scorecard'!J37)</f>
        <v/>
      </c>
      <c r="K21" s="43" t="str">
        <f>IF('TGL scorecard'!K37="","",'TGL scorecard'!K37)</f>
        <v/>
      </c>
      <c r="L21" s="43" t="str">
        <f>IF('TGL scorecard'!L37="","",'TGL scorecard'!L37)</f>
        <v/>
      </c>
      <c r="M21" s="43" t="str">
        <f>IF('TGL scorecard'!M37="","",'TGL scorecard'!M37)</f>
        <v/>
      </c>
      <c r="N21" s="41" t="str">
        <f>IF('TGL scorecard'!N37="","",'TGL scorecard'!N37)</f>
        <v/>
      </c>
      <c r="O21" s="41" t="str">
        <f>IF('TGL scorecard'!O37="","",'TGL scorecard'!O37)</f>
        <v/>
      </c>
      <c r="P21" s="11"/>
      <c r="Q21" s="11"/>
      <c r="R21" s="47"/>
      <c r="S21" s="26"/>
    </row>
    <row r="22" spans="1:19" ht="13.5" customHeight="1" x14ac:dyDescent="0.15">
      <c r="A22" s="6"/>
      <c r="B22" s="12" t="s">
        <v>13</v>
      </c>
      <c r="C22" s="76" t="str">
        <f>IF('TGL scorecard'!C38="","",'TGL scorecard'!C38)</f>
        <v/>
      </c>
      <c r="D22" s="37" t="str">
        <f>IF('TGL scorecard'!D38="","",'TGL scorecard'!D38)</f>
        <v/>
      </c>
      <c r="E22" s="43" t="str">
        <f>IF('TGL scorecard'!E38="","",'TGL scorecard'!E38)</f>
        <v/>
      </c>
      <c r="F22" s="43" t="str">
        <f>IF('TGL scorecard'!F38="","",'TGL scorecard'!F38)</f>
        <v/>
      </c>
      <c r="G22" s="43" t="str">
        <f>IF('TGL scorecard'!G38="","",'TGL scorecard'!G38)</f>
        <v/>
      </c>
      <c r="H22" s="43" t="str">
        <f>IF('TGL scorecard'!H38="","",'TGL scorecard'!H38)</f>
        <v/>
      </c>
      <c r="I22" s="43" t="str">
        <f>IF('TGL scorecard'!I38="","",'TGL scorecard'!I38)</f>
        <v/>
      </c>
      <c r="J22" s="43" t="str">
        <f>IF('TGL scorecard'!J38="","",'TGL scorecard'!J38)</f>
        <v/>
      </c>
      <c r="K22" s="43" t="str">
        <f>IF('TGL scorecard'!K38="","",'TGL scorecard'!K38)</f>
        <v/>
      </c>
      <c r="L22" s="43" t="str">
        <f>IF('TGL scorecard'!L38="","",'TGL scorecard'!L38)</f>
        <v/>
      </c>
      <c r="M22" s="43" t="str">
        <f>IF('TGL scorecard'!M38="","",'TGL scorecard'!M38)</f>
        <v/>
      </c>
      <c r="N22" s="41" t="str">
        <f>IF('TGL scorecard'!N38="","",'TGL scorecard'!N38)</f>
        <v/>
      </c>
      <c r="O22" s="41" t="str">
        <f>IF('TGL scorecard'!O38="","",'TGL scorecard'!O38)</f>
        <v/>
      </c>
      <c r="P22" s="11"/>
      <c r="Q22" s="11"/>
      <c r="R22" s="47"/>
      <c r="S22" s="26"/>
    </row>
    <row r="23" spans="1:19" ht="13.5" customHeight="1" x14ac:dyDescent="0.15">
      <c r="A23" s="6"/>
      <c r="B23" s="12" t="s">
        <v>13</v>
      </c>
      <c r="C23" s="76" t="str">
        <f>IF('TGL scorecard'!C39="","",'TGL scorecard'!C39)</f>
        <v/>
      </c>
      <c r="D23" s="37" t="str">
        <f>IF('TGL scorecard'!D39="","",'TGL scorecard'!D39)</f>
        <v/>
      </c>
      <c r="E23" s="43" t="str">
        <f>IF('TGL scorecard'!E39="","",'TGL scorecard'!E39)</f>
        <v/>
      </c>
      <c r="F23" s="43" t="str">
        <f>IF('TGL scorecard'!F39="","",'TGL scorecard'!F39)</f>
        <v/>
      </c>
      <c r="G23" s="43" t="str">
        <f>IF('TGL scorecard'!G39="","",'TGL scorecard'!G39)</f>
        <v/>
      </c>
      <c r="H23" s="43" t="str">
        <f>IF('TGL scorecard'!H39="","",'TGL scorecard'!H39)</f>
        <v/>
      </c>
      <c r="I23" s="43" t="str">
        <f>IF('TGL scorecard'!I39="","",'TGL scorecard'!I39)</f>
        <v/>
      </c>
      <c r="J23" s="43" t="str">
        <f>IF('TGL scorecard'!J39="","",'TGL scorecard'!J39)</f>
        <v/>
      </c>
      <c r="K23" s="43" t="str">
        <f>IF('TGL scorecard'!K39="","",'TGL scorecard'!K39)</f>
        <v/>
      </c>
      <c r="L23" s="43" t="str">
        <f>IF('TGL scorecard'!L39="","",'TGL scorecard'!L39)</f>
        <v/>
      </c>
      <c r="M23" s="43" t="str">
        <f>IF('TGL scorecard'!M39="","",'TGL scorecard'!M39)</f>
        <v/>
      </c>
      <c r="N23" s="41" t="str">
        <f>IF('TGL scorecard'!N39="","",'TGL scorecard'!N39)</f>
        <v/>
      </c>
      <c r="O23" s="41" t="str">
        <f>IF('TGL scorecard'!O39="","",'TGL scorecard'!O39)</f>
        <v/>
      </c>
      <c r="P23" s="11"/>
      <c r="Q23" s="11"/>
      <c r="R23" s="47"/>
      <c r="S23" s="26"/>
    </row>
    <row r="24" spans="1:19" ht="13.5" customHeight="1" x14ac:dyDescent="0.15">
      <c r="A24" s="6"/>
      <c r="B24" s="12" t="s">
        <v>13</v>
      </c>
      <c r="C24" s="76" t="str">
        <f>IF('TGL scorecard'!C40="","",'TGL scorecard'!C40)</f>
        <v/>
      </c>
      <c r="D24" s="37" t="str">
        <f>IF('TGL scorecard'!D40="","",'TGL scorecard'!D40)</f>
        <v/>
      </c>
      <c r="E24" s="43" t="str">
        <f>IF('TGL scorecard'!E40="","",'TGL scorecard'!E40)</f>
        <v/>
      </c>
      <c r="F24" s="43" t="str">
        <f>IF('TGL scorecard'!F40="","",'TGL scorecard'!F40)</f>
        <v/>
      </c>
      <c r="G24" s="43" t="str">
        <f>IF('TGL scorecard'!G40="","",'TGL scorecard'!G40)</f>
        <v/>
      </c>
      <c r="H24" s="43" t="str">
        <f>IF('TGL scorecard'!H40="","",'TGL scorecard'!H40)</f>
        <v/>
      </c>
      <c r="I24" s="43" t="str">
        <f>IF('TGL scorecard'!I40="","",'TGL scorecard'!I40)</f>
        <v/>
      </c>
      <c r="J24" s="43" t="str">
        <f>IF('TGL scorecard'!J40="","",'TGL scorecard'!J40)</f>
        <v/>
      </c>
      <c r="K24" s="43" t="str">
        <f>IF('TGL scorecard'!K40="","",'TGL scorecard'!K40)</f>
        <v/>
      </c>
      <c r="L24" s="43" t="str">
        <f>IF('TGL scorecard'!L40="","",'TGL scorecard'!L40)</f>
        <v/>
      </c>
      <c r="M24" s="43" t="str">
        <f>IF('TGL scorecard'!M40="","",'TGL scorecard'!M40)</f>
        <v/>
      </c>
      <c r="N24" s="41" t="str">
        <f>IF('TGL scorecard'!N40="","",'TGL scorecard'!N40)</f>
        <v/>
      </c>
      <c r="O24" s="41" t="str">
        <f>IF('TGL scorecard'!O40="","",'TGL scorecard'!O40)</f>
        <v/>
      </c>
      <c r="P24" s="11"/>
      <c r="Q24" s="11"/>
      <c r="R24" s="47"/>
      <c r="S24" s="26"/>
    </row>
    <row r="25" spans="1:19" ht="13.5" customHeight="1" x14ac:dyDescent="0.15">
      <c r="A25" s="6"/>
      <c r="B25" s="12" t="s">
        <v>13</v>
      </c>
      <c r="C25" s="76" t="str">
        <f>IF('TGL scorecard'!C41="","",'TGL scorecard'!C41)</f>
        <v/>
      </c>
      <c r="D25" s="37" t="str">
        <f>IF('TGL scorecard'!D41="","",'TGL scorecard'!D41)</f>
        <v/>
      </c>
      <c r="E25" s="43" t="str">
        <f>IF('TGL scorecard'!E41="","",'TGL scorecard'!E41)</f>
        <v/>
      </c>
      <c r="F25" s="43" t="str">
        <f>IF('TGL scorecard'!F41="","",'TGL scorecard'!F41)</f>
        <v/>
      </c>
      <c r="G25" s="43" t="str">
        <f>IF('TGL scorecard'!G41="","",'TGL scorecard'!G41)</f>
        <v/>
      </c>
      <c r="H25" s="43" t="str">
        <f>IF('TGL scorecard'!H41="","",'TGL scorecard'!H41)</f>
        <v/>
      </c>
      <c r="I25" s="43" t="str">
        <f>IF('TGL scorecard'!I41="","",'TGL scorecard'!I41)</f>
        <v/>
      </c>
      <c r="J25" s="43" t="str">
        <f>IF('TGL scorecard'!J41="","",'TGL scorecard'!J41)</f>
        <v/>
      </c>
      <c r="K25" s="43" t="str">
        <f>IF('TGL scorecard'!K41="","",'TGL scorecard'!K41)</f>
        <v/>
      </c>
      <c r="L25" s="43" t="str">
        <f>IF('TGL scorecard'!L41="","",'TGL scorecard'!L41)</f>
        <v/>
      </c>
      <c r="M25" s="43" t="str">
        <f>IF('TGL scorecard'!M41="","",'TGL scorecard'!M41)</f>
        <v/>
      </c>
      <c r="N25" s="41" t="str">
        <f>IF('TGL scorecard'!N41="","",'TGL scorecard'!N41)</f>
        <v/>
      </c>
      <c r="O25" s="41" t="str">
        <f>IF('TGL scorecard'!O41="","",'TGL scorecard'!O41)</f>
        <v/>
      </c>
      <c r="P25" s="11"/>
      <c r="Q25" s="11"/>
      <c r="R25" s="47"/>
      <c r="S25" s="26"/>
    </row>
    <row r="26" spans="1:19" ht="13.5" customHeight="1" x14ac:dyDescent="0.15">
      <c r="A26" s="6"/>
      <c r="B26" s="12" t="s">
        <v>13</v>
      </c>
      <c r="C26" s="76" t="str">
        <f>IF('TGL scorecard'!C42="","",'TGL scorecard'!C42)</f>
        <v/>
      </c>
      <c r="D26" s="37" t="str">
        <f>IF('TGL scorecard'!D42="","",'TGL scorecard'!D42)</f>
        <v/>
      </c>
      <c r="E26" s="43" t="str">
        <f>IF('TGL scorecard'!E42="","",'TGL scorecard'!E42)</f>
        <v/>
      </c>
      <c r="F26" s="43" t="str">
        <f>IF('TGL scorecard'!F42="","",'TGL scorecard'!F42)</f>
        <v/>
      </c>
      <c r="G26" s="43" t="str">
        <f>IF('TGL scorecard'!G42="","",'TGL scorecard'!G42)</f>
        <v/>
      </c>
      <c r="H26" s="43" t="str">
        <f>IF('TGL scorecard'!H42="","",'TGL scorecard'!H42)</f>
        <v/>
      </c>
      <c r="I26" s="43" t="str">
        <f>IF('TGL scorecard'!I42="","",'TGL scorecard'!I42)</f>
        <v/>
      </c>
      <c r="J26" s="43" t="str">
        <f>IF('TGL scorecard'!J42="","",'TGL scorecard'!J42)</f>
        <v/>
      </c>
      <c r="K26" s="43" t="str">
        <f>IF('TGL scorecard'!K42="","",'TGL scorecard'!K42)</f>
        <v/>
      </c>
      <c r="L26" s="43" t="str">
        <f>IF('TGL scorecard'!L42="","",'TGL scorecard'!L42)</f>
        <v/>
      </c>
      <c r="M26" s="43" t="str">
        <f>IF('TGL scorecard'!M42="","",'TGL scorecard'!M42)</f>
        <v/>
      </c>
      <c r="N26" s="41" t="str">
        <f>IF('TGL scorecard'!N42="","",'TGL scorecard'!N42)</f>
        <v/>
      </c>
      <c r="O26" s="41" t="str">
        <f>IF('TGL scorecard'!O42="","",'TGL scorecard'!O42)</f>
        <v/>
      </c>
      <c r="P26" s="11"/>
      <c r="Q26" s="11"/>
      <c r="R26" s="47"/>
      <c r="S26" s="26"/>
    </row>
    <row r="27" spans="1:19" ht="13.5" customHeight="1" x14ac:dyDescent="0.15">
      <c r="A27" s="6"/>
      <c r="B27" s="12" t="s">
        <v>13</v>
      </c>
      <c r="C27" s="76" t="str">
        <f>IF('TGL scorecard'!C43="","",'TGL scorecard'!C43)</f>
        <v/>
      </c>
      <c r="D27" s="37" t="str">
        <f>IF('TGL scorecard'!D43="","",'TGL scorecard'!D43)</f>
        <v/>
      </c>
      <c r="E27" s="43" t="str">
        <f>IF('TGL scorecard'!E43="","",'TGL scorecard'!E43)</f>
        <v/>
      </c>
      <c r="F27" s="43" t="str">
        <f>IF('TGL scorecard'!F43="","",'TGL scorecard'!F43)</f>
        <v/>
      </c>
      <c r="G27" s="43" t="str">
        <f>IF('TGL scorecard'!G43="","",'TGL scorecard'!G43)</f>
        <v/>
      </c>
      <c r="H27" s="43" t="str">
        <f>IF('TGL scorecard'!H43="","",'TGL scorecard'!H43)</f>
        <v/>
      </c>
      <c r="I27" s="43" t="str">
        <f>IF('TGL scorecard'!I43="","",'TGL scorecard'!I43)</f>
        <v/>
      </c>
      <c r="J27" s="43" t="str">
        <f>IF('TGL scorecard'!J43="","",'TGL scorecard'!J43)</f>
        <v/>
      </c>
      <c r="K27" s="43" t="str">
        <f>IF('TGL scorecard'!K43="","",'TGL scorecard'!K43)</f>
        <v/>
      </c>
      <c r="L27" s="43" t="str">
        <f>IF('TGL scorecard'!L43="","",'TGL scorecard'!L43)</f>
        <v/>
      </c>
      <c r="M27" s="43" t="str">
        <f>IF('TGL scorecard'!M43="","",'TGL scorecard'!M43)</f>
        <v/>
      </c>
      <c r="N27" s="41" t="str">
        <f>IF('TGL scorecard'!N43="","",'TGL scorecard'!N43)</f>
        <v/>
      </c>
      <c r="O27" s="41" t="str">
        <f>IF('TGL scorecard'!O43="","",'TGL scorecard'!O43)</f>
        <v/>
      </c>
      <c r="P27" s="11"/>
      <c r="Q27" s="11"/>
      <c r="R27" s="47"/>
      <c r="S27" s="26"/>
    </row>
    <row r="28" spans="1:19" ht="13.5" customHeight="1" x14ac:dyDescent="0.15">
      <c r="A28" s="6"/>
      <c r="B28" s="12" t="s">
        <v>13</v>
      </c>
      <c r="C28" s="76" t="str">
        <f>IF('TGL scorecard'!C44="","",'TGL scorecard'!C44)</f>
        <v/>
      </c>
      <c r="D28" s="37" t="str">
        <f>IF('TGL scorecard'!D44="","",'TGL scorecard'!D44)</f>
        <v/>
      </c>
      <c r="E28" s="43" t="str">
        <f>IF('TGL scorecard'!E44="","",'TGL scorecard'!E44)</f>
        <v/>
      </c>
      <c r="F28" s="43" t="str">
        <f>IF('TGL scorecard'!F44="","",'TGL scorecard'!F44)</f>
        <v/>
      </c>
      <c r="G28" s="43" t="str">
        <f>IF('TGL scorecard'!G44="","",'TGL scorecard'!G44)</f>
        <v/>
      </c>
      <c r="H28" s="43" t="str">
        <f>IF('TGL scorecard'!H44="","",'TGL scorecard'!H44)</f>
        <v/>
      </c>
      <c r="I28" s="43" t="str">
        <f>IF('TGL scorecard'!I44="","",'TGL scorecard'!I44)</f>
        <v/>
      </c>
      <c r="J28" s="43" t="str">
        <f>IF('TGL scorecard'!J44="","",'TGL scorecard'!J44)</f>
        <v/>
      </c>
      <c r="K28" s="43" t="str">
        <f>IF('TGL scorecard'!K44="","",'TGL scorecard'!K44)</f>
        <v/>
      </c>
      <c r="L28" s="43" t="str">
        <f>IF('TGL scorecard'!L44="","",'TGL scorecard'!L44)</f>
        <v/>
      </c>
      <c r="M28" s="43" t="str">
        <f>IF('TGL scorecard'!M44="","",'TGL scorecard'!M44)</f>
        <v/>
      </c>
      <c r="N28" s="41" t="str">
        <f>IF('TGL scorecard'!N44="","",'TGL scorecard'!N44)</f>
        <v/>
      </c>
      <c r="O28" s="41" t="str">
        <f>IF('TGL scorecard'!O44="","",'TGL scorecard'!O44)</f>
        <v/>
      </c>
      <c r="P28" s="11"/>
      <c r="Q28" s="11"/>
      <c r="R28" s="47"/>
      <c r="S28" s="26"/>
    </row>
    <row r="29" spans="1:19" ht="13.5" customHeight="1" x14ac:dyDescent="0.15">
      <c r="A29" s="6"/>
      <c r="B29" s="12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1"/>
      <c r="O29" s="10"/>
      <c r="P29" s="11"/>
      <c r="Q29" s="11"/>
      <c r="R29" s="47"/>
      <c r="S29" s="26"/>
    </row>
    <row r="30" spans="1:19" ht="13.5" customHeight="1" x14ac:dyDescent="0.15">
      <c r="A30" s="6"/>
      <c r="B30" s="12"/>
      <c r="C30" s="13"/>
      <c r="D30" s="15" t="s">
        <v>51</v>
      </c>
      <c r="E30" s="11">
        <f>IF(LEFT($C$32,5)="Click","",VLOOKUP($C$32&amp;"-fhc",$D$5:$M$14,2,FALSE))</f>
        <v>3</v>
      </c>
      <c r="F30" s="11">
        <f>IF(LEFT($C$32,5)="Click","",VLOOKUP($C$32&amp;"-fhc",$D$5:$M$14,3,FALSE))</f>
        <v>15</v>
      </c>
      <c r="G30" s="11">
        <f>IF(LEFT($C$32,5)="Click","",VLOOKUP($C$32&amp;"-fhc",$D$5:$M$14,4,FALSE))</f>
        <v>13</v>
      </c>
      <c r="H30" s="11">
        <f>IF(LEFT($C$32,5)="Click","",VLOOKUP($C$32&amp;"-fhc",$D$5:$M$14,5,FALSE))</f>
        <v>7</v>
      </c>
      <c r="I30" s="11">
        <f>IF(LEFT($C$32,5)="Click","",VLOOKUP($C$32&amp;"-fhc",$D$5:$M$14,6,FALSE))</f>
        <v>11</v>
      </c>
      <c r="J30" s="11">
        <f>IF(LEFT($C$32,5)="Click","",VLOOKUP($C$32&amp;"-fhc",$D$5:$M$14,7,FALSE))</f>
        <v>1</v>
      </c>
      <c r="K30" s="11">
        <f>IF(LEFT($C$32,5)="Click","",VLOOKUP($C$32&amp;"-fhc",$D$5:$M$14,8,FALSE))</f>
        <v>5</v>
      </c>
      <c r="L30" s="11">
        <f>IF(LEFT($C$32,5)="Click","",VLOOKUP($C$32&amp;"-fhc",$D$5:$M$14,9,FALSE))</f>
        <v>17</v>
      </c>
      <c r="M30" s="11">
        <f>IF(LEFT($C$32,5)="Click","",VLOOKUP($C$32&amp;"-fhc",$D$5:$M$14,10,FALSE))</f>
        <v>9</v>
      </c>
      <c r="N30" s="10"/>
      <c r="O30" s="10"/>
      <c r="P30" s="11"/>
      <c r="Q30" s="11"/>
      <c r="R30" s="48"/>
      <c r="S30" s="26"/>
    </row>
    <row r="31" spans="1:19" ht="17" customHeight="1" thickBot="1" x14ac:dyDescent="0.2">
      <c r="A31" s="6"/>
      <c r="B31" s="17"/>
      <c r="C31" s="14" t="s">
        <v>37</v>
      </c>
      <c r="D31" s="96" t="s">
        <v>53</v>
      </c>
      <c r="E31" s="11">
        <v>1</v>
      </c>
      <c r="F31" s="11">
        <v>2</v>
      </c>
      <c r="G31" s="11">
        <v>3</v>
      </c>
      <c r="H31" s="11">
        <v>4</v>
      </c>
      <c r="I31" s="11">
        <v>5</v>
      </c>
      <c r="J31" s="11">
        <v>6</v>
      </c>
      <c r="K31" s="11">
        <v>7</v>
      </c>
      <c r="L31" s="11">
        <v>8</v>
      </c>
      <c r="M31" s="11">
        <v>9</v>
      </c>
      <c r="N31" s="11" t="s">
        <v>21</v>
      </c>
      <c r="O31" s="11" t="s">
        <v>20</v>
      </c>
      <c r="P31" s="11" t="s">
        <v>10</v>
      </c>
      <c r="Q31" s="11"/>
      <c r="R31" s="48"/>
      <c r="S31" s="26"/>
    </row>
    <row r="32" spans="1:19" ht="15" customHeight="1" thickBot="1" x14ac:dyDescent="0.2">
      <c r="A32" s="24"/>
      <c r="B32" s="29" t="s">
        <v>44</v>
      </c>
      <c r="C32" s="16" t="s">
        <v>5</v>
      </c>
      <c r="D32" s="95" t="s">
        <v>52</v>
      </c>
      <c r="E32" s="11">
        <f>IF(LEFT($C$32,5)="Click","",VLOOKUP($C$32&amp;"-par",$D$5:$M$14,2,FALSE))</f>
        <v>4</v>
      </c>
      <c r="F32" s="11">
        <f>IF(LEFT($C$32,5)="Click","",VLOOKUP($C$32&amp;"-par",$D$5:$M$14,3,FALSE))</f>
        <v>3</v>
      </c>
      <c r="G32" s="11">
        <f>IF(LEFT($C$32,5)="Click","",VLOOKUP($C$32&amp;"-par",$D$5:$M$14,4,FALSE))</f>
        <v>4</v>
      </c>
      <c r="H32" s="11">
        <f>IF(LEFT($C$32,5)="Click","",VLOOKUP($C$32&amp;"-par",$D$5:$M$14,5,FALSE))</f>
        <v>4</v>
      </c>
      <c r="I32" s="11">
        <f>IF(LEFT($C$32,5)="Click","",VLOOKUP($C$32&amp;"-par",$D$5:$M$14,6,FALSE))</f>
        <v>5</v>
      </c>
      <c r="J32" s="11">
        <f>IF(LEFT($C$32,5)="Click","",VLOOKUP($C$32&amp;"-par",$D$5:$M$14,7,FALSE))</f>
        <v>4</v>
      </c>
      <c r="K32" s="11">
        <f>IF(LEFT($C$32,5)="Click","",VLOOKUP($C$32&amp;"-par",$D$5:$M$14,8,FALSE))</f>
        <v>4</v>
      </c>
      <c r="L32" s="11">
        <f>IF(LEFT($C$32,5)="Click","",VLOOKUP($C$32&amp;"-par",$D$5:$M$14,9,FALSE))</f>
        <v>3</v>
      </c>
      <c r="M32" s="11">
        <f>IF(LEFT($C$32,5)="Click","",VLOOKUP($C$32&amp;"-par",$D$5:$M$14,10,FALSE))</f>
        <v>5</v>
      </c>
      <c r="N32" s="11">
        <f>SUM(E32:M32)</f>
        <v>36</v>
      </c>
      <c r="O32" s="11">
        <f>SUM(N32,'TGL scorecard'!N49)</f>
        <v>36</v>
      </c>
      <c r="P32" s="11">
        <f>SUM(N32:O32)</f>
        <v>72</v>
      </c>
      <c r="Q32" s="11" t="s">
        <v>39</v>
      </c>
      <c r="R32" s="71"/>
      <c r="S32" s="26"/>
    </row>
    <row r="33" spans="1:19" ht="13.5" customHeight="1" x14ac:dyDescent="0.15">
      <c r="A33" s="24"/>
      <c r="B33" s="12" t="s">
        <v>12</v>
      </c>
      <c r="C33" s="77" t="str">
        <f>IF(C18="","",C18)</f>
        <v/>
      </c>
      <c r="D33" s="53" t="str">
        <f>D18</f>
        <v/>
      </c>
      <c r="E33" s="51"/>
      <c r="F33" s="51"/>
      <c r="G33" s="51"/>
      <c r="H33" s="51"/>
      <c r="I33" s="51"/>
      <c r="J33" s="51"/>
      <c r="K33" s="51"/>
      <c r="L33" s="51"/>
      <c r="M33" s="51"/>
      <c r="N33" s="45" t="str">
        <f>IF(OR(COUNTIF(E33:M33,"&gt;0")&lt;9,C33="",ISERROR(MATCH($C$17,'TGL scorecard'!$C$6:$C$8,0))),"",SUM(E33:M33))</f>
        <v/>
      </c>
      <c r="O33" s="44" t="str">
        <f>IF(N18="","",N18)</f>
        <v/>
      </c>
      <c r="P33" s="44" t="str">
        <f>IF(AND(N33&lt;&gt;"",O33&lt;&gt;""),SUM(N33:O33),"")</f>
        <v/>
      </c>
      <c r="Q33" s="46" t="str">
        <f>IF(P33="","",IF(ISNUMBER(D33),P33-SUM(D33),D33))</f>
        <v/>
      </c>
      <c r="R33" s="48"/>
      <c r="S33" s="26"/>
    </row>
    <row r="34" spans="1:19" ht="13.5" customHeight="1" x14ac:dyDescent="0.15">
      <c r="A34" s="24"/>
      <c r="B34" s="12" t="s">
        <v>12</v>
      </c>
      <c r="C34" s="77" t="str">
        <f>IF(C19="","",C19)</f>
        <v/>
      </c>
      <c r="D34" s="53" t="str">
        <f>D19</f>
        <v/>
      </c>
      <c r="E34" s="51"/>
      <c r="F34" s="51"/>
      <c r="G34" s="51"/>
      <c r="H34" s="51"/>
      <c r="I34" s="51"/>
      <c r="J34" s="51"/>
      <c r="K34" s="51"/>
      <c r="L34" s="51"/>
      <c r="M34" s="51"/>
      <c r="N34" s="45" t="str">
        <f>IF(OR(COUNTIF(E34:M34,"&gt;0")&lt;9,C34="",ISERROR(MATCH($C$17,'TGL scorecard'!$C$6:$C$8,0))),"",SUM(E34:M34))</f>
        <v/>
      </c>
      <c r="O34" s="44" t="str">
        <f>IF(N19="","",N19)</f>
        <v/>
      </c>
      <c r="P34" s="44" t="str">
        <f t="shared" ref="P34:P43" si="0">IF(AND(N34&lt;&gt;"",O34&lt;&gt;""),SUM(N34:O34),"")</f>
        <v/>
      </c>
      <c r="Q34" s="46" t="str">
        <f>IF(P34="","",IF(ISNUMBER(D34),P34-SUM(D34),D34))</f>
        <v/>
      </c>
      <c r="R34" s="48"/>
      <c r="S34" s="26"/>
    </row>
    <row r="35" spans="1:19" ht="13.5" customHeight="1" x14ac:dyDescent="0.15">
      <c r="A35" s="24"/>
      <c r="B35" s="12"/>
      <c r="C35" s="40"/>
      <c r="D35" s="40"/>
      <c r="E35" s="52"/>
      <c r="F35" s="52"/>
      <c r="G35" s="52"/>
      <c r="H35" s="52"/>
      <c r="I35" s="52"/>
      <c r="J35" s="52"/>
      <c r="K35" s="52"/>
      <c r="L35" s="52"/>
      <c r="M35" s="52"/>
      <c r="N35" s="40"/>
      <c r="O35" s="40"/>
      <c r="P35" s="40"/>
      <c r="Q35" s="49"/>
      <c r="R35" s="48"/>
      <c r="S35" s="26"/>
    </row>
    <row r="36" spans="1:19" ht="13.5" customHeight="1" x14ac:dyDescent="0.15">
      <c r="A36" s="24"/>
      <c r="B36" s="12" t="s">
        <v>13</v>
      </c>
      <c r="C36" s="77" t="str">
        <f t="shared" ref="C36:C43" si="1">IF(C21="","",C21)</f>
        <v/>
      </c>
      <c r="D36" s="53" t="str">
        <f>D21</f>
        <v/>
      </c>
      <c r="E36" s="51"/>
      <c r="F36" s="51"/>
      <c r="G36" s="51"/>
      <c r="H36" s="51"/>
      <c r="I36" s="51"/>
      <c r="J36" s="51"/>
      <c r="K36" s="51"/>
      <c r="L36" s="51"/>
      <c r="M36" s="51"/>
      <c r="N36" s="45" t="str">
        <f>IF(OR(COUNTIF(E36:M36,"&gt;0")&lt;9,C36="",ISERROR(MATCH($C$17,'TGL scorecard'!$C$6:$C$8,0))),"",SUM(E36:M36))</f>
        <v/>
      </c>
      <c r="O36" s="44" t="str">
        <f t="shared" ref="O36:O43" si="2">IF(N21="","",N21)</f>
        <v/>
      </c>
      <c r="P36" s="44" t="str">
        <f t="shared" si="0"/>
        <v/>
      </c>
      <c r="Q36" s="46" t="str">
        <f t="shared" ref="Q36:Q43" si="3">IF(P36="","",IF(ISNUMBER(D36),P36-SUM(D36),D36))</f>
        <v/>
      </c>
      <c r="R36" s="48"/>
      <c r="S36" s="26"/>
    </row>
    <row r="37" spans="1:19" ht="13.5" customHeight="1" x14ac:dyDescent="0.15">
      <c r="A37" s="24"/>
      <c r="B37" s="12" t="s">
        <v>13</v>
      </c>
      <c r="C37" s="77" t="str">
        <f t="shared" si="1"/>
        <v/>
      </c>
      <c r="D37" s="53" t="str">
        <f t="shared" ref="D37:D43" si="4">D22</f>
        <v/>
      </c>
      <c r="E37" s="51"/>
      <c r="F37" s="51"/>
      <c r="G37" s="51"/>
      <c r="H37" s="51"/>
      <c r="I37" s="51"/>
      <c r="J37" s="51"/>
      <c r="K37" s="51"/>
      <c r="L37" s="51"/>
      <c r="M37" s="51"/>
      <c r="N37" s="45" t="str">
        <f>IF(OR(COUNTIF(E37:M37,"&gt;0")&lt;9,C37="",ISERROR(MATCH($C$17,'TGL scorecard'!$C$6:$C$8,0))),"",SUM(E37:M37))</f>
        <v/>
      </c>
      <c r="O37" s="44" t="str">
        <f t="shared" si="2"/>
        <v/>
      </c>
      <c r="P37" s="44" t="str">
        <f t="shared" si="0"/>
        <v/>
      </c>
      <c r="Q37" s="46" t="str">
        <f t="shared" si="3"/>
        <v/>
      </c>
      <c r="R37" s="48"/>
      <c r="S37" s="26"/>
    </row>
    <row r="38" spans="1:19" ht="13.5" customHeight="1" x14ac:dyDescent="0.15">
      <c r="A38" s="24"/>
      <c r="B38" s="12" t="s">
        <v>13</v>
      </c>
      <c r="C38" s="77" t="str">
        <f t="shared" si="1"/>
        <v/>
      </c>
      <c r="D38" s="53" t="str">
        <f t="shared" si="4"/>
        <v/>
      </c>
      <c r="E38" s="51"/>
      <c r="F38" s="51"/>
      <c r="G38" s="51"/>
      <c r="H38" s="51"/>
      <c r="I38" s="51"/>
      <c r="J38" s="51"/>
      <c r="K38" s="51"/>
      <c r="L38" s="51"/>
      <c r="M38" s="51"/>
      <c r="N38" s="45" t="str">
        <f>IF(OR(COUNTIF(E38:M38,"&gt;0")&lt;9,C38="",ISERROR(MATCH($C$17,'TGL scorecard'!$C$6:$C$8,0))),"",SUM(E38:M38))</f>
        <v/>
      </c>
      <c r="O38" s="44" t="str">
        <f t="shared" si="2"/>
        <v/>
      </c>
      <c r="P38" s="44" t="str">
        <f t="shared" si="0"/>
        <v/>
      </c>
      <c r="Q38" s="46" t="str">
        <f t="shared" si="3"/>
        <v/>
      </c>
      <c r="R38" s="48"/>
      <c r="S38" s="26"/>
    </row>
    <row r="39" spans="1:19" ht="13.5" customHeight="1" x14ac:dyDescent="0.15">
      <c r="A39" s="24"/>
      <c r="B39" s="12" t="s">
        <v>13</v>
      </c>
      <c r="C39" s="77" t="str">
        <f t="shared" si="1"/>
        <v/>
      </c>
      <c r="D39" s="53" t="str">
        <f t="shared" si="4"/>
        <v/>
      </c>
      <c r="E39" s="51"/>
      <c r="F39" s="51"/>
      <c r="G39" s="51"/>
      <c r="H39" s="51"/>
      <c r="I39" s="51"/>
      <c r="J39" s="51"/>
      <c r="K39" s="51"/>
      <c r="L39" s="51"/>
      <c r="M39" s="51"/>
      <c r="N39" s="45" t="str">
        <f>IF(OR(COUNTIF(E39:M39,"&gt;0")&lt;9,C39="",ISERROR(MATCH($C$17,'TGL scorecard'!$C$6:$C$8,0))),"",SUM(E39:M39))</f>
        <v/>
      </c>
      <c r="O39" s="44" t="str">
        <f t="shared" si="2"/>
        <v/>
      </c>
      <c r="P39" s="44" t="str">
        <f t="shared" si="0"/>
        <v/>
      </c>
      <c r="Q39" s="46" t="str">
        <f t="shared" si="3"/>
        <v/>
      </c>
      <c r="R39" s="48"/>
      <c r="S39" s="26"/>
    </row>
    <row r="40" spans="1:19" ht="13.5" customHeight="1" x14ac:dyDescent="0.15">
      <c r="A40" s="24"/>
      <c r="B40" s="12" t="s">
        <v>13</v>
      </c>
      <c r="C40" s="77" t="str">
        <f t="shared" si="1"/>
        <v/>
      </c>
      <c r="D40" s="53" t="str">
        <f t="shared" si="4"/>
        <v/>
      </c>
      <c r="E40" s="51"/>
      <c r="F40" s="51"/>
      <c r="G40" s="51"/>
      <c r="H40" s="51"/>
      <c r="I40" s="51"/>
      <c r="J40" s="51"/>
      <c r="K40" s="51"/>
      <c r="L40" s="51"/>
      <c r="M40" s="51"/>
      <c r="N40" s="45" t="str">
        <f>IF(OR(COUNTIF(E40:M40,"&gt;0")&lt;9,C40="",ISERROR(MATCH($C$17,'TGL scorecard'!$C$6:$C$8,0))),"",SUM(E40:M40))</f>
        <v/>
      </c>
      <c r="O40" s="44" t="str">
        <f t="shared" si="2"/>
        <v/>
      </c>
      <c r="P40" s="44" t="str">
        <f t="shared" si="0"/>
        <v/>
      </c>
      <c r="Q40" s="46" t="str">
        <f t="shared" si="3"/>
        <v/>
      </c>
      <c r="R40" s="48"/>
      <c r="S40" s="26"/>
    </row>
    <row r="41" spans="1:19" ht="13.5" customHeight="1" x14ac:dyDescent="0.15">
      <c r="A41" s="24"/>
      <c r="B41" s="12" t="s">
        <v>13</v>
      </c>
      <c r="C41" s="77" t="str">
        <f t="shared" si="1"/>
        <v/>
      </c>
      <c r="D41" s="53" t="str">
        <f t="shared" si="4"/>
        <v/>
      </c>
      <c r="E41" s="51"/>
      <c r="F41" s="51"/>
      <c r="G41" s="51"/>
      <c r="H41" s="51"/>
      <c r="I41" s="51"/>
      <c r="J41" s="51"/>
      <c r="K41" s="51"/>
      <c r="L41" s="51"/>
      <c r="M41" s="51"/>
      <c r="N41" s="45" t="str">
        <f>IF(OR(COUNTIF(E41:M41,"&gt;0")&lt;9,C41="",ISERROR(MATCH($C$17,'TGL scorecard'!$C$6:$C$8,0))),"",SUM(E41:M41))</f>
        <v/>
      </c>
      <c r="O41" s="44" t="str">
        <f t="shared" si="2"/>
        <v/>
      </c>
      <c r="P41" s="44" t="str">
        <f t="shared" si="0"/>
        <v/>
      </c>
      <c r="Q41" s="46" t="str">
        <f t="shared" si="3"/>
        <v/>
      </c>
      <c r="R41" s="48"/>
      <c r="S41" s="26"/>
    </row>
    <row r="42" spans="1:19" ht="13.5" customHeight="1" x14ac:dyDescent="0.15">
      <c r="A42" s="24"/>
      <c r="B42" s="12" t="s">
        <v>13</v>
      </c>
      <c r="C42" s="77" t="str">
        <f t="shared" si="1"/>
        <v/>
      </c>
      <c r="D42" s="53" t="str">
        <f t="shared" si="4"/>
        <v/>
      </c>
      <c r="E42" s="51"/>
      <c r="F42" s="51"/>
      <c r="G42" s="51"/>
      <c r="H42" s="51"/>
      <c r="I42" s="51"/>
      <c r="J42" s="51"/>
      <c r="K42" s="51"/>
      <c r="L42" s="51"/>
      <c r="M42" s="51"/>
      <c r="N42" s="45" t="str">
        <f>IF(OR(COUNTIF(E42:M42,"&gt;0")&lt;9,C42="",ISERROR(MATCH($C$17,'TGL scorecard'!$C$6:$C$8,0))),"",SUM(E42:M42))</f>
        <v/>
      </c>
      <c r="O42" s="44" t="str">
        <f t="shared" si="2"/>
        <v/>
      </c>
      <c r="P42" s="44" t="str">
        <f t="shared" si="0"/>
        <v/>
      </c>
      <c r="Q42" s="46" t="str">
        <f t="shared" si="3"/>
        <v/>
      </c>
      <c r="R42" s="48"/>
      <c r="S42" s="26"/>
    </row>
    <row r="43" spans="1:19" ht="13.5" customHeight="1" x14ac:dyDescent="0.15">
      <c r="A43" s="24"/>
      <c r="B43" s="12" t="s">
        <v>13</v>
      </c>
      <c r="C43" s="77" t="str">
        <f t="shared" si="1"/>
        <v/>
      </c>
      <c r="D43" s="53" t="str">
        <f t="shared" si="4"/>
        <v/>
      </c>
      <c r="E43" s="51"/>
      <c r="F43" s="51"/>
      <c r="G43" s="51"/>
      <c r="H43" s="51"/>
      <c r="I43" s="51"/>
      <c r="J43" s="51"/>
      <c r="K43" s="51"/>
      <c r="L43" s="51"/>
      <c r="M43" s="51"/>
      <c r="N43" s="45" t="str">
        <f>IF(OR(COUNTIF(E43:M43,"&gt;0")&lt;9,C43="",ISERROR(MATCH($C$17,'TGL scorecard'!$C$6:$C$8,0))),"",SUM(E43:M43))</f>
        <v/>
      </c>
      <c r="O43" s="44" t="str">
        <f t="shared" si="2"/>
        <v/>
      </c>
      <c r="P43" s="44" t="str">
        <f t="shared" si="0"/>
        <v/>
      </c>
      <c r="Q43" s="46" t="str">
        <f t="shared" si="3"/>
        <v/>
      </c>
      <c r="R43" s="48"/>
      <c r="S43" s="26"/>
    </row>
    <row r="44" spans="1:19" ht="13.5" customHeight="1" x14ac:dyDescent="0.15">
      <c r="A44" s="24"/>
      <c r="B44" s="12"/>
      <c r="C44" s="50"/>
      <c r="D44" s="50"/>
      <c r="E44" s="72"/>
      <c r="F44" s="72"/>
      <c r="G44" s="72"/>
      <c r="H44" s="72"/>
      <c r="I44" s="72"/>
      <c r="J44" s="72"/>
      <c r="K44" s="72"/>
      <c r="L44" s="72"/>
      <c r="M44" s="72"/>
      <c r="N44" s="50"/>
      <c r="O44" s="50"/>
      <c r="P44" s="50"/>
      <c r="Q44" s="47"/>
      <c r="R44" s="48"/>
      <c r="S44" s="26"/>
    </row>
    <row r="45" spans="1:19" ht="13.5" customHeight="1" x14ac:dyDescent="0.15">
      <c r="A45" s="24"/>
      <c r="B45" s="12"/>
      <c r="C45" s="15"/>
      <c r="D45" s="15"/>
      <c r="E45" s="20"/>
      <c r="F45" s="20"/>
      <c r="G45" s="20"/>
      <c r="H45" s="20"/>
      <c r="I45" s="20"/>
      <c r="J45" s="20"/>
      <c r="K45" s="20"/>
      <c r="L45" s="20"/>
      <c r="M45" s="20"/>
      <c r="N45" s="11"/>
      <c r="O45" s="11"/>
      <c r="P45" s="11"/>
      <c r="Q45" s="11"/>
      <c r="R45" s="47"/>
      <c r="S45" s="26"/>
    </row>
    <row r="46" spans="1:19" ht="13.5" customHeight="1" x14ac:dyDescent="0.15">
      <c r="A46" s="69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70"/>
    </row>
  </sheetData>
  <conditionalFormatting sqref="C17">
    <cfRule type="cellIs" dxfId="15" priority="13" stopIfTrue="1" operator="equal">
      <formula>"CHARDONNAY"</formula>
    </cfRule>
    <cfRule type="cellIs" dxfId="14" priority="14" stopIfTrue="1" operator="equal">
      <formula>"MERLOT"</formula>
    </cfRule>
    <cfRule type="cellIs" dxfId="13" priority="15" stopIfTrue="1" operator="equal">
      <formula>"ZINFANDEL"</formula>
    </cfRule>
  </conditionalFormatting>
  <conditionalFormatting sqref="C16">
    <cfRule type="cellIs" dxfId="12" priority="16" stopIfTrue="1" operator="notEqual">
      <formula>"To Set the Course,"</formula>
    </cfRule>
  </conditionalFormatting>
  <conditionalFormatting sqref="E18:M24">
    <cfRule type="expression" dxfId="11" priority="11">
      <formula>FIND("X",E18)</formula>
    </cfRule>
    <cfRule type="expression" dxfId="10" priority="12">
      <formula>FIND("x",E18)</formula>
    </cfRule>
  </conditionalFormatting>
  <conditionalFormatting sqref="E25:M28">
    <cfRule type="expression" dxfId="9" priority="9">
      <formula>FIND("X",E25)</formula>
    </cfRule>
    <cfRule type="expression" dxfId="8" priority="10">
      <formula>FIND("x",E25)</formula>
    </cfRule>
  </conditionalFormatting>
  <conditionalFormatting sqref="E40:M43">
    <cfRule type="expression" dxfId="7" priority="1">
      <formula>FIND("X",E40)</formula>
    </cfRule>
    <cfRule type="expression" dxfId="6" priority="2">
      <formula>FIND("x",E40)</formula>
    </cfRule>
  </conditionalFormatting>
  <conditionalFormatting sqref="C32">
    <cfRule type="cellIs" dxfId="5" priority="5" stopIfTrue="1" operator="equal">
      <formula>"CHARDONNAY"</formula>
    </cfRule>
    <cfRule type="cellIs" dxfId="4" priority="6" stopIfTrue="1" operator="equal">
      <formula>"MERLOT"</formula>
    </cfRule>
    <cfRule type="cellIs" dxfId="3" priority="7" stopIfTrue="1" operator="equal">
      <formula>"ZINFANDEL"</formula>
    </cfRule>
  </conditionalFormatting>
  <conditionalFormatting sqref="C31">
    <cfRule type="cellIs" dxfId="2" priority="8" stopIfTrue="1" operator="notEqual">
      <formula>"To Set the Course,"</formula>
    </cfRule>
  </conditionalFormatting>
  <conditionalFormatting sqref="E33:M39 C35:D35 N35:Q35">
    <cfRule type="expression" dxfId="1" priority="3">
      <formula>FIND("X",C33)</formula>
    </cfRule>
    <cfRule type="expression" dxfId="0" priority="4">
      <formula>FIND("x",C33)</formula>
    </cfRule>
  </conditionalFormatting>
  <dataValidations count="2">
    <dataValidation type="list" showErrorMessage="1" errorTitle="Pick_A_9" error="Pick the coase from the pulldown list." sqref="C32" xr:uid="{00000000-0002-0000-0100-000000000000}">
      <formula1>$C$5:$C8</formula1>
    </dataValidation>
    <dataValidation showErrorMessage="1" errorTitle="Pick_A_9" error="Pick the coase from the pulldown list." sqref="C17" xr:uid="{00000000-0002-0000-0100-000001000000}"/>
  </dataValidations>
  <pageMargins left="0.74791666666666667" right="0.74791666666666667" top="0.98402777777777772" bottom="0.98402777777777772" header="0.51180555555555551" footer="0.51180555555555551"/>
  <pageSetup firstPageNumber="0" fitToHeight="5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TGL scorecard</vt:lpstr>
      <vt:lpstr>FYI 2nd Nine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Wichter, Larry B.</dc:creator>
  <cp:lastModifiedBy>Microsoft Office User</cp:lastModifiedBy>
  <dcterms:created xsi:type="dcterms:W3CDTF">2009-06-24T18:11:46Z</dcterms:created>
  <dcterms:modified xsi:type="dcterms:W3CDTF">2018-05-02T12:21:00Z</dcterms:modified>
</cp:coreProperties>
</file>